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028"/>
  <workbookPr defaultThemeVersion="166925"/>
  <mc:AlternateContent xmlns:mc="http://schemas.openxmlformats.org/markup-compatibility/2006">
    <mc:Choice Requires="x15">
      <x15ac:absPath xmlns:x15ac="http://schemas.microsoft.com/office/spreadsheetml/2010/11/ac" url="/Volumes/Projecten/0972 Duurzame Zonnepalen/gekregen/Rapporten en presentaties/"/>
    </mc:Choice>
  </mc:AlternateContent>
  <xr:revisionPtr revIDLastSave="0" documentId="8_{AD44451A-C478-6747-B273-41F4EA659CC6}" xr6:coauthVersionLast="47" xr6:coauthVersionMax="47" xr10:uidLastSave="{00000000-0000-0000-0000-000000000000}"/>
  <bookViews>
    <workbookView xWindow="0" yWindow="500" windowWidth="38400" windowHeight="23500"/>
  </bookViews>
  <sheets>
    <sheet name="Disclaimer" sheetId="1" r:id="rId1"/>
    <sheet name="1__Eisen_-_Algemeen" sheetId="2" r:id="rId2"/>
    <sheet name="2__Eisen-Werkzaamheden" sheetId="3" r:id="rId3"/>
    <sheet name="3__Eisen_-_Panelen" sheetId="4" r:id="rId4"/>
    <sheet name="4__Eisen_-_Omv_&amp;_elektra" sheetId="5" r:id="rId5"/>
    <sheet name="5__Eisen_-_Constructie" sheetId="6" r:id="rId6"/>
    <sheet name="6__Eisen_-_Oplev_inspectie" sheetId="7" r:id="rId7"/>
    <sheet name="7__Eisen_-_O_&amp;_M" sheetId="8" r:id="rId8"/>
    <sheet name="8__Eisen_-_Ecol_&amp;_biodiv" sheetId="9" r:id="rId9"/>
    <sheet name="9__Gunningscriteria" sheetId="10" r:id="rId10"/>
    <sheet name="10__Documenten_inschrijving" sheetId="11" r:id="rId11"/>
  </sheets>
  <definedNames>
    <definedName name="Lijsten_ja_nee_onbekend">'9__Gunningscriteria'!$H$90:$H$92</definedName>
    <definedName name="Lijsten_kWh_punt_aftrek">'9__Gunningscriteria'!$H$103</definedName>
    <definedName name="Lijsten_weging_milieu_impact">'9__Gunningscriteria'!$H$95:$H$100</definedName>
    <definedName name="_xlnm.Print_Area" localSheetId="1">'1__Eisen_-_Algemeen'!$A$6:$H$42</definedName>
    <definedName name="_xlnm.Print_Area" localSheetId="10">'10__Documenten_inschrijving'!$A$1:$E$22</definedName>
    <definedName name="_xlnm.Print_Area" localSheetId="2">'2__Eisen-Werkzaamheden'!$A$6:$H$37</definedName>
    <definedName name="_xlnm.Print_Area" localSheetId="3">'3__Eisen_-_Panelen'!$A$6:$H$23</definedName>
    <definedName name="_xlnm.Print_Area" localSheetId="4">'4__Eisen_-_Omv_&amp;_elektra'!$A$6:$H$65</definedName>
    <definedName name="_xlnm.Print_Area" localSheetId="5">'5__Eisen_-_Constructie'!$A$6:$H$35</definedName>
    <definedName name="_xlnm.Print_Area" localSheetId="6">'6__Eisen_-_Oplev_inspectie'!$A$6:$H$55</definedName>
    <definedName name="_xlnm.Print_Area" localSheetId="7">'7__Eisen_-_O_&amp;_M'!$A$6:$H$32</definedName>
    <definedName name="_xlnm.Print_Area" localSheetId="8">'8__Eisen_-_Ecol_&amp;_biodiv'!$A$6:$G$23</definedName>
    <definedName name="_xlnm.Print_Area" localSheetId="9">'9__Gunningscriteria'!$B$2:$M$77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3" i="11" l="1"/>
  <c r="C3" i="10"/>
  <c r="A3" i="9"/>
  <c r="A3" i="8"/>
  <c r="A3" i="7"/>
  <c r="A3" i="6"/>
  <c r="A3" i="5"/>
  <c r="A3" i="4"/>
  <c r="A3" i="3"/>
  <c r="M75" i="10"/>
  <c r="C75" i="10"/>
  <c r="M74" i="10"/>
  <c r="C74" i="10"/>
  <c r="M73" i="10"/>
  <c r="C73" i="10"/>
  <c r="M72" i="10"/>
  <c r="C72" i="10"/>
  <c r="M71" i="10"/>
  <c r="C71" i="10"/>
  <c r="C70" i="10"/>
  <c r="L68" i="10"/>
  <c r="K68" i="10"/>
  <c r="J68" i="10"/>
  <c r="I68" i="10"/>
  <c r="H68" i="10"/>
  <c r="G62" i="10"/>
  <c r="J66" i="10" s="1"/>
  <c r="J75" i="10" s="1"/>
  <c r="K60" i="10"/>
  <c r="K74" i="10" s="1"/>
  <c r="G57" i="10"/>
  <c r="L60" i="10" s="1"/>
  <c r="L74" i="10" s="1"/>
  <c r="L55" i="10"/>
  <c r="L73" i="10" s="1"/>
  <c r="K55" i="10"/>
  <c r="K73" i="10" s="1"/>
  <c r="J55" i="10"/>
  <c r="J73" i="10" s="1"/>
  <c r="I55" i="10"/>
  <c r="I73" i="10" s="1"/>
  <c r="H55" i="10"/>
  <c r="H73" i="10" s="1"/>
  <c r="G51" i="10"/>
  <c r="L49" i="10"/>
  <c r="L72" i="10" s="1"/>
  <c r="K49" i="10"/>
  <c r="K72" i="10" s="1"/>
  <c r="J49" i="10"/>
  <c r="J72" i="10" s="1"/>
  <c r="I49" i="10"/>
  <c r="I72" i="10" s="1"/>
  <c r="H49" i="10"/>
  <c r="H72" i="10" s="1"/>
  <c r="G45" i="10"/>
  <c r="L43" i="10"/>
  <c r="L71" i="10" s="1"/>
  <c r="K43" i="10"/>
  <c r="K71" i="10" s="1"/>
  <c r="J43" i="10"/>
  <c r="J71" i="10" s="1"/>
  <c r="I43" i="10"/>
  <c r="I71" i="10" s="1"/>
  <c r="G37" i="10"/>
  <c r="H43" i="10" s="1"/>
  <c r="H71" i="10" s="1"/>
  <c r="L33" i="10"/>
  <c r="K33" i="10"/>
  <c r="J33" i="10"/>
  <c r="I33" i="10"/>
  <c r="H33" i="10"/>
  <c r="L27" i="10"/>
  <c r="L26" i="10"/>
  <c r="L31" i="10" s="1"/>
  <c r="L32" i="10" s="1"/>
  <c r="L34" i="10" s="1"/>
  <c r="L35" i="10" s="1"/>
  <c r="L70" i="10" s="1"/>
  <c r="K26" i="10"/>
  <c r="K31" i="10" s="1"/>
  <c r="K32" i="10" s="1"/>
  <c r="K34" i="10" s="1"/>
  <c r="K35" i="10" s="1"/>
  <c r="K70" i="10" s="1"/>
  <c r="J26" i="10"/>
  <c r="J31" i="10" s="1"/>
  <c r="J32" i="10" s="1"/>
  <c r="J34" i="10" s="1"/>
  <c r="J35" i="10" s="1"/>
  <c r="J70" i="10" s="1"/>
  <c r="I26" i="10"/>
  <c r="I31" i="10" s="1"/>
  <c r="I32" i="10" s="1"/>
  <c r="I34" i="10" s="1"/>
  <c r="I35" i="10" s="1"/>
  <c r="I70" i="10" s="1"/>
  <c r="H26" i="10"/>
  <c r="H31" i="10" s="1"/>
  <c r="L24" i="10"/>
  <c r="K24" i="10"/>
  <c r="J24" i="10"/>
  <c r="I24" i="10"/>
  <c r="H24" i="10"/>
  <c r="L23" i="10"/>
  <c r="K23" i="10"/>
  <c r="J23" i="10"/>
  <c r="I23" i="10"/>
  <c r="H23" i="10"/>
  <c r="L22" i="10"/>
  <c r="K22" i="10"/>
  <c r="J22" i="10"/>
  <c r="I22" i="10"/>
  <c r="H22" i="10"/>
  <c r="L16" i="10"/>
  <c r="K16" i="10"/>
  <c r="J16" i="10"/>
  <c r="I16" i="10"/>
  <c r="H16" i="10"/>
  <c r="F16" i="10"/>
  <c r="M70" i="10" s="1"/>
  <c r="M76" i="10" s="1"/>
  <c r="A23" i="9"/>
  <c r="A22" i="9"/>
  <c r="A21" i="9"/>
  <c r="A20" i="9"/>
  <c r="A19" i="9"/>
  <c r="A17" i="9"/>
  <c r="A16" i="9"/>
  <c r="A12" i="9"/>
  <c r="A11" i="9"/>
  <c r="H10" i="9"/>
  <c r="H11" i="9" s="1"/>
  <c r="H12" i="9" s="1"/>
  <c r="H13" i="9" s="1"/>
  <c r="H14" i="9" s="1"/>
  <c r="A10" i="9"/>
  <c r="H9" i="9"/>
  <c r="A9" i="9"/>
  <c r="A8" i="9"/>
  <c r="A32" i="8"/>
  <c r="A31" i="8"/>
  <c r="A30" i="8"/>
  <c r="B29" i="8"/>
  <c r="B28" i="8"/>
  <c r="B26" i="8"/>
  <c r="B25" i="8"/>
  <c r="A19" i="8"/>
  <c r="I9" i="8"/>
  <c r="I10" i="8" s="1"/>
  <c r="A9" i="8"/>
  <c r="A8" i="8"/>
  <c r="A54" i="7"/>
  <c r="A53" i="7"/>
  <c r="B52" i="7"/>
  <c r="B51" i="7"/>
  <c r="A49" i="7"/>
  <c r="B48" i="7"/>
  <c r="B47" i="7"/>
  <c r="I42" i="7"/>
  <c r="I43" i="7" s="1"/>
  <c r="I44" i="7" s="1"/>
  <c r="I45" i="7" s="1"/>
  <c r="I46" i="7" s="1"/>
  <c r="A8" i="7"/>
  <c r="A36" i="6"/>
  <c r="A35" i="6"/>
  <c r="A34" i="6"/>
  <c r="B33" i="6"/>
  <c r="B32" i="6"/>
  <c r="A30" i="6"/>
  <c r="A24" i="6"/>
  <c r="A20" i="6"/>
  <c r="B16" i="6"/>
  <c r="I10" i="6"/>
  <c r="I11" i="6" s="1"/>
  <c r="A10" i="6"/>
  <c r="I9" i="6"/>
  <c r="A9" i="6"/>
  <c r="A8" i="6"/>
  <c r="B65" i="5"/>
  <c r="B64" i="5"/>
  <c r="B63" i="5"/>
  <c r="A61" i="5"/>
  <c r="B49" i="5"/>
  <c r="B48" i="5"/>
  <c r="B36" i="5"/>
  <c r="B35" i="5"/>
  <c r="B34" i="5"/>
  <c r="B33" i="5"/>
  <c r="B19" i="5"/>
  <c r="A16" i="5"/>
  <c r="A13" i="5"/>
  <c r="I10" i="5"/>
  <c r="I11" i="5" s="1"/>
  <c r="A10" i="5"/>
  <c r="I9" i="5"/>
  <c r="A9" i="5"/>
  <c r="A8" i="5"/>
  <c r="A23" i="4"/>
  <c r="B22" i="4"/>
  <c r="B21" i="4"/>
  <c r="B20" i="4"/>
  <c r="B19" i="4"/>
  <c r="A17" i="4"/>
  <c r="A13" i="4"/>
  <c r="A12" i="4"/>
  <c r="I10" i="4"/>
  <c r="I11" i="4" s="1"/>
  <c r="I9" i="4"/>
  <c r="A9" i="4"/>
  <c r="A8" i="4"/>
  <c r="B36" i="3"/>
  <c r="A25" i="3"/>
  <c r="A13" i="3"/>
  <c r="I9" i="3"/>
  <c r="I10" i="3" s="1"/>
  <c r="A9" i="3"/>
  <c r="A8" i="3"/>
  <c r="B42" i="2"/>
  <c r="B41" i="2"/>
  <c r="B40" i="2"/>
  <c r="B39" i="2"/>
  <c r="A37" i="2"/>
  <c r="A33" i="2"/>
  <c r="A30" i="2"/>
  <c r="A26" i="2"/>
  <c r="A22" i="2"/>
  <c r="B14" i="2"/>
  <c r="B13" i="2"/>
  <c r="I9" i="2"/>
  <c r="I10" i="2" s="1"/>
  <c r="I11" i="2" s="1"/>
  <c r="A9" i="2"/>
  <c r="A8" i="2"/>
  <c r="I12" i="2" l="1"/>
  <c r="A12" i="2" s="1"/>
  <c r="A11" i="2"/>
  <c r="A11" i="5"/>
  <c r="I12" i="5"/>
  <c r="I13" i="2"/>
  <c r="I14" i="2" s="1"/>
  <c r="I13" i="6"/>
  <c r="A11" i="6"/>
  <c r="I12" i="4"/>
  <c r="I13" i="4" s="1"/>
  <c r="I14" i="4" s="1"/>
  <c r="I15" i="4" s="1"/>
  <c r="A11" i="4"/>
  <c r="L76" i="10"/>
  <c r="I11" i="3"/>
  <c r="A10" i="3"/>
  <c r="I47" i="7"/>
  <c r="I48" i="7" s="1"/>
  <c r="H15" i="9"/>
  <c r="A14" i="9"/>
  <c r="A10" i="8"/>
  <c r="I11" i="8"/>
  <c r="A13" i="2"/>
  <c r="H32" i="10"/>
  <c r="H34" i="10" s="1"/>
  <c r="H35" i="10" s="1"/>
  <c r="H70" i="10" s="1"/>
  <c r="K66" i="10"/>
  <c r="K75" i="10" s="1"/>
  <c r="K76" i="10" s="1"/>
  <c r="L66" i="10"/>
  <c r="L75" i="10" s="1"/>
  <c r="H27" i="10"/>
  <c r="I27" i="10"/>
  <c r="H60" i="10"/>
  <c r="H74" i="10" s="1"/>
  <c r="J27" i="10"/>
  <c r="I60" i="10"/>
  <c r="I74" i="10" s="1"/>
  <c r="I76" i="10" s="1"/>
  <c r="A10" i="4"/>
  <c r="K27" i="10"/>
  <c r="J60" i="10"/>
  <c r="J74" i="10" s="1"/>
  <c r="J76" i="10" s="1"/>
  <c r="G16" i="10"/>
  <c r="H66" i="10"/>
  <c r="H75" i="10" s="1"/>
  <c r="I66" i="10"/>
  <c r="I75" i="10" s="1"/>
  <c r="A14" i="2" l="1"/>
  <c r="I15" i="2"/>
  <c r="I16" i="2" s="1"/>
  <c r="I17" i="2" s="1"/>
  <c r="A15" i="4"/>
  <c r="I16" i="4"/>
  <c r="H76" i="10"/>
  <c r="I49" i="7"/>
  <c r="I50" i="7" s="1"/>
  <c r="I51" i="7" s="1"/>
  <c r="A48" i="7"/>
  <c r="A13" i="6"/>
  <c r="I14" i="6"/>
  <c r="I12" i="8"/>
  <c r="A11" i="8"/>
  <c r="I12" i="3"/>
  <c r="A11" i="3"/>
  <c r="A12" i="5"/>
  <c r="I13" i="5"/>
  <c r="I14" i="5" s="1"/>
  <c r="I15" i="5" s="1"/>
  <c r="A47" i="7"/>
  <c r="H16" i="9"/>
  <c r="H17" i="9" s="1"/>
  <c r="H18" i="9" s="1"/>
  <c r="H19" i="9" s="1"/>
  <c r="H20" i="9" s="1"/>
  <c r="H21" i="9" s="1"/>
  <c r="H22" i="9" s="1"/>
  <c r="H23" i="9" s="1"/>
  <c r="A15" i="9"/>
  <c r="A12" i="3" l="1"/>
  <c r="I13" i="3"/>
  <c r="I14" i="3" s="1"/>
  <c r="I15" i="3" s="1"/>
  <c r="I52" i="7"/>
  <c r="A51" i="7"/>
  <c r="I17" i="4"/>
  <c r="I18" i="4" s="1"/>
  <c r="I19" i="4" s="1"/>
  <c r="A16" i="4"/>
  <c r="I15" i="6"/>
  <c r="A14" i="6"/>
  <c r="A15" i="5"/>
  <c r="I16" i="5"/>
  <c r="I17" i="5" s="1"/>
  <c r="I18" i="5" s="1"/>
  <c r="A12" i="8"/>
  <c r="I13" i="8"/>
  <c r="I18" i="2"/>
  <c r="A17" i="2"/>
  <c r="I14" i="8" l="1"/>
  <c r="A13" i="8"/>
  <c r="A15" i="6"/>
  <c r="I16" i="6"/>
  <c r="I22" i="3"/>
  <c r="I23" i="3" s="1"/>
  <c r="I24" i="3" s="1"/>
  <c r="A15" i="3"/>
  <c r="I19" i="2"/>
  <c r="A18" i="2"/>
  <c r="I19" i="5"/>
  <c r="A18" i="5"/>
  <c r="A19" i="4"/>
  <c r="I20" i="4"/>
  <c r="A52" i="7"/>
  <c r="I53" i="7"/>
  <c r="I54" i="7" s="1"/>
  <c r="I55" i="7" s="1"/>
  <c r="A20" i="4" l="1"/>
  <c r="I21" i="4"/>
  <c r="I25" i="3"/>
  <c r="I26" i="3" s="1"/>
  <c r="I27" i="3" s="1"/>
  <c r="A24" i="3"/>
  <c r="A19" i="2"/>
  <c r="I20" i="2"/>
  <c r="I17" i="6"/>
  <c r="A16" i="6"/>
  <c r="I20" i="5"/>
  <c r="A19" i="5"/>
  <c r="I15" i="8"/>
  <c r="A14" i="8"/>
  <c r="A17" i="6" l="1"/>
  <c r="I18" i="6"/>
  <c r="I21" i="5"/>
  <c r="A20" i="5"/>
  <c r="I28" i="3"/>
  <c r="A27" i="3"/>
  <c r="A21" i="4"/>
  <c r="I22" i="4"/>
  <c r="I16" i="8"/>
  <c r="A15" i="8"/>
  <c r="A20" i="2"/>
  <c r="I21" i="2"/>
  <c r="A22" i="4" l="1"/>
  <c r="I23" i="4"/>
  <c r="A16" i="8"/>
  <c r="I17" i="8"/>
  <c r="A28" i="3"/>
  <c r="I29" i="3"/>
  <c r="I22" i="2"/>
  <c r="I23" i="2" s="1"/>
  <c r="I24" i="2" s="1"/>
  <c r="A21" i="2"/>
  <c r="I19" i="6"/>
  <c r="A18" i="6"/>
  <c r="I22" i="5"/>
  <c r="A21" i="5"/>
  <c r="A22" i="5" l="1"/>
  <c r="I23" i="5"/>
  <c r="A19" i="6"/>
  <c r="I20" i="6"/>
  <c r="I21" i="6" s="1"/>
  <c r="I22" i="6" s="1"/>
  <c r="I30" i="3"/>
  <c r="A29" i="3"/>
  <c r="I25" i="2"/>
  <c r="A24" i="2"/>
  <c r="A17" i="8"/>
  <c r="I18" i="8"/>
  <c r="I26" i="2" l="1"/>
  <c r="I27" i="2" s="1"/>
  <c r="I28" i="2" s="1"/>
  <c r="A25" i="2"/>
  <c r="A18" i="8"/>
  <c r="I19" i="8"/>
  <c r="I20" i="8" s="1"/>
  <c r="I21" i="8" s="1"/>
  <c r="I31" i="3"/>
  <c r="A30" i="3"/>
  <c r="A23" i="5"/>
  <c r="I24" i="5"/>
  <c r="I23" i="6"/>
  <c r="A22" i="6"/>
  <c r="I24" i="6" l="1"/>
  <c r="I25" i="6" s="1"/>
  <c r="I27" i="6" s="1"/>
  <c r="A23" i="6"/>
  <c r="I32" i="3"/>
  <c r="A31" i="3"/>
  <c r="A21" i="8"/>
  <c r="I22" i="8"/>
  <c r="I25" i="5"/>
  <c r="A24" i="5"/>
  <c r="I29" i="2"/>
  <c r="A28" i="2"/>
  <c r="I23" i="8" l="1"/>
  <c r="A22" i="8"/>
  <c r="I30" i="2"/>
  <c r="I31" i="2" s="1"/>
  <c r="I32" i="2" s="1"/>
  <c r="A29" i="2"/>
  <c r="I33" i="3"/>
  <c r="A32" i="3"/>
  <c r="I26" i="5"/>
  <c r="A25" i="5"/>
  <c r="A27" i="6"/>
  <c r="I28" i="6"/>
  <c r="I29" i="6" l="1"/>
  <c r="I30" i="6" s="1"/>
  <c r="I32" i="6" s="1"/>
  <c r="A28" i="6"/>
  <c r="A33" i="3"/>
  <c r="I34" i="3"/>
  <c r="A32" i="2"/>
  <c r="I33" i="2"/>
  <c r="I34" i="2" s="1"/>
  <c r="I35" i="2" s="1"/>
  <c r="I27" i="5"/>
  <c r="A26" i="5"/>
  <c r="A23" i="8"/>
  <c r="I24" i="8"/>
  <c r="A24" i="8" l="1"/>
  <c r="I25" i="8"/>
  <c r="I28" i="5"/>
  <c r="A27" i="5"/>
  <c r="I36" i="2"/>
  <c r="A35" i="2"/>
  <c r="I35" i="3"/>
  <c r="A34" i="3"/>
  <c r="I33" i="6"/>
  <c r="A32" i="6"/>
  <c r="I34" i="6" l="1"/>
  <c r="I35" i="6" s="1"/>
  <c r="I36" i="6" s="1"/>
  <c r="A33" i="6"/>
  <c r="A28" i="5"/>
  <c r="I29" i="5"/>
  <c r="A35" i="3"/>
  <c r="I36" i="3"/>
  <c r="A36" i="2"/>
  <c r="I37" i="2"/>
  <c r="I38" i="2" s="1"/>
  <c r="I39" i="2" s="1"/>
  <c r="I26" i="8"/>
  <c r="A25" i="8"/>
  <c r="A39" i="2" l="1"/>
  <c r="I40" i="2"/>
  <c r="I30" i="5"/>
  <c r="A29" i="5"/>
  <c r="A26" i="8"/>
  <c r="I27" i="8"/>
  <c r="I28" i="8" s="1"/>
  <c r="I37" i="3"/>
  <c r="A36" i="3"/>
  <c r="A28" i="8" l="1"/>
  <c r="I29" i="8"/>
  <c r="A30" i="5"/>
  <c r="I31" i="5"/>
  <c r="A40" i="2"/>
  <c r="I41" i="2"/>
  <c r="I42" i="2" l="1"/>
  <c r="A42" i="2" s="1"/>
  <c r="A41" i="2"/>
  <c r="I32" i="5"/>
  <c r="A31" i="5"/>
  <c r="I30" i="8"/>
  <c r="I31" i="8" s="1"/>
  <c r="I32" i="8" s="1"/>
  <c r="A29" i="8"/>
  <c r="A32" i="5" l="1"/>
  <c r="I33" i="5"/>
  <c r="I34" i="5" l="1"/>
  <c r="A33" i="5"/>
  <c r="A34" i="5" l="1"/>
  <c r="I35" i="5"/>
  <c r="A35" i="5" l="1"/>
  <c r="I36" i="5"/>
  <c r="I37" i="5" l="1"/>
  <c r="I38" i="5" s="1"/>
  <c r="I39" i="5" s="1"/>
  <c r="A36" i="5"/>
  <c r="I40" i="5" l="1"/>
  <c r="A39" i="5"/>
  <c r="I41" i="5" l="1"/>
  <c r="A40" i="5"/>
  <c r="I42" i="5" l="1"/>
  <c r="A41" i="5"/>
  <c r="I43" i="5" l="1"/>
  <c r="A42" i="5"/>
  <c r="A43" i="5" l="1"/>
  <c r="I44" i="5"/>
  <c r="I45" i="5" l="1"/>
  <c r="A44" i="5"/>
  <c r="A45" i="5" l="1"/>
  <c r="I46" i="5"/>
  <c r="A46" i="5" l="1"/>
  <c r="I47" i="5"/>
  <c r="A47" i="5" l="1"/>
  <c r="I48" i="5"/>
  <c r="I49" i="5" l="1"/>
  <c r="A48" i="5"/>
  <c r="I50" i="5" l="1"/>
  <c r="A49" i="5"/>
  <c r="A50" i="5" l="1"/>
  <c r="I51" i="5"/>
  <c r="I52" i="5" l="1"/>
  <c r="A51" i="5"/>
  <c r="A52" i="5" l="1"/>
  <c r="I53" i="5"/>
  <c r="I54" i="5" l="1"/>
  <c r="A53" i="5"/>
  <c r="A54" i="5" l="1"/>
  <c r="I55" i="5"/>
  <c r="I56" i="5" l="1"/>
  <c r="A55" i="5"/>
  <c r="I57" i="5" l="1"/>
  <c r="A56" i="5"/>
  <c r="I58" i="5" l="1"/>
  <c r="I59" i="5" s="1"/>
  <c r="A57" i="5"/>
  <c r="I60" i="5" l="1"/>
  <c r="A59" i="5"/>
  <c r="I61" i="5" l="1"/>
  <c r="I62" i="5" s="1"/>
  <c r="I63" i="5" s="1"/>
  <c r="A60" i="5"/>
  <c r="I64" i="5" l="1"/>
  <c r="A63" i="5"/>
  <c r="A64" i="5" l="1"/>
  <c r="I65" i="5"/>
  <c r="A65" i="5" s="1"/>
</calcChain>
</file>

<file path=xl/sharedStrings.xml><?xml version="1.0" encoding="utf-8"?>
<sst xmlns="http://schemas.openxmlformats.org/spreadsheetml/2006/main" count="786" uniqueCount="521">
  <si>
    <t xml:space="preserve">Dit template helpt u bij het maken van duurzaamheidskeuzes t.a.v. eisen en gunningscriteria voor zon PV projecten. 
Het geeft tevens een overzicht van alle aspecten die van belang zijn bij een aanbesteding.  
Omdat geen enkel Zon PV project identiek is vormt dit template een hulpmiddel. U zult dus zelf aanvullende eisen moeten toevoegen die specifiek gelden voor uw project. 
PIANOo is niet verantwoordelijk voor eventuele fouten of onvolkomenheden. </t>
  </si>
  <si>
    <t xml:space="preserve">Eisen - Algemeen </t>
  </si>
  <si>
    <t>Instructies opdrachtgever</t>
  </si>
  <si>
    <t>Template eisen en gunningscriteria voor PV projecten</t>
  </si>
  <si>
    <t>1) Aanpassen gele velden met blauwe letters</t>
  </si>
  <si>
    <t>Versie 1.1 - Juli 2024</t>
  </si>
  <si>
    <t xml:space="preserve">2) Optionele eisen in roze velden: verwijder het vraagteken in kolom C indien deze eis niet wordt opgenomen. Anders 'ja' invullen of 1. Het nummer van de eis valt dan ook weg, de nummering van de volgende eisen wordt automatisch aangepast. </t>
  </si>
  <si>
    <t>Uitgegeven door: Buyer Group voor Duurzame PV</t>
  </si>
  <si>
    <t>3) Eventueel eisen toevoegen in de lege velden. Indien extra rijen worden gemaakt, svp de formules voor automatische nummering in kolom A en  H aanpassen.</t>
  </si>
  <si>
    <t>Feedback/fouten/aanvullingen: mail BGDPV@pianoo.nl</t>
  </si>
  <si>
    <t xml:space="preserve">4) Zodra gereed, kolommen D en E verbergen. </t>
  </si>
  <si>
    <t>ID</t>
  </si>
  <si>
    <t xml:space="preserve">Omschrijving </t>
  </si>
  <si>
    <t>Waarde</t>
  </si>
  <si>
    <t>Eis op-nemen?</t>
  </si>
  <si>
    <t>Toelichting opdrachtgevers</t>
  </si>
  <si>
    <t xml:space="preserve">Toelichting inschrijvers </t>
  </si>
  <si>
    <t>Verificatie / validatie</t>
  </si>
  <si>
    <t>Wat bij onderprestatie?</t>
  </si>
  <si>
    <t>Locatie en projectduur</t>
  </si>
  <si>
    <t>Beschrijving projectlocatie(s) en relevante details.</t>
  </si>
  <si>
    <t>zie bijlage ..</t>
  </si>
  <si>
    <t>Maak een bijlage waarin per locatie wordt aangegeven: adres, aanduiding dak/grond vlak, locatiefoto's, het ingeschatte DCvermogen, netaansluiting, maximale dakbelasting, etc</t>
  </si>
  <si>
    <t>Primaire doelen: Zonnestroom-installatie</t>
  </si>
  <si>
    <t xml:space="preserve">Het DC-vermogen van de aangeboden zonnepanelen dient groter te zijn dan: </t>
  </si>
  <si>
    <t xml:space="preserve">.. kWp </t>
  </si>
  <si>
    <t xml:space="preserve">Het totale piekvermogen van alle te installeren zonnepanelen bij elkaar, conform het vermogen bij Standaard Test Condities op de datasheet van de zonnepanelen van de voorzijde (monofacial). </t>
  </si>
  <si>
    <t>1) Datasheet zonnepanelen; 2) Simulatierapport PV installatie gemaakt met erkende software (bijvoorbeeld PV Syst, PV Sol etcetera)</t>
  </si>
  <si>
    <t>Geen geldige inschrijving</t>
  </si>
  <si>
    <t>Elektriciteitsopwek PV installatie(s) in kWh in jaar 1 dient groter zijn dan:</t>
  </si>
  <si>
    <t>.. kWh</t>
  </si>
  <si>
    <t xml:space="preserve">Gaat om de P50 waarde, bij simulatieperiode 2010-2020. Simulatierapport van voorgestelde PV installatie, in jaar 1, op basis van nominale instraling = gemiddelde langjarige verwachting,  'P50', met erkende software (PV Syst, PV Sol of vergelijkbaar pakket). </t>
  </si>
  <si>
    <t>Simulatierapport van voorgestelde PV installatie</t>
  </si>
  <si>
    <t>... kW</t>
  </si>
  <si>
    <t>?</t>
  </si>
  <si>
    <t xml:space="preserve">Optionele eis, indien bijvoorbeeld rekening moet worden gehouden met de grootte van de bestaande netaansluiting. NB: Bij SDE++ projecten mag maximaal 50% van het totale DC paneelvermogen worden aangesloten op het net. </t>
  </si>
  <si>
    <t xml:space="preserve">Kan worden gerealiseerd door het vermogen van de omvormers te beperken tot een bepaald vermogen. </t>
  </si>
  <si>
    <t>Achteraf via Scope 12 keuring</t>
  </si>
  <si>
    <t>gedurende de eerste 2- 4 jaar</t>
  </si>
  <si>
    <t>Optionele eis (vaak toegepast, aanbevolen) om onderhoud en monitoring de eerste 2 tot 4 jaar door de installateur te laten uitvoeren</t>
  </si>
  <si>
    <t>Veiligheid</t>
  </si>
  <si>
    <t xml:space="preserve">De elektrische installatie wordt ontworpen en aangelegd volgens NEN1010 </t>
  </si>
  <si>
    <t>Opdrachtnemer zorgt ervoor dat installatie voldoet aan NEN1010 binnen redelijke termijn, anders verzorgt opdrachtgever dit voor kosten opdrachtnemer.</t>
  </si>
  <si>
    <r>
      <t xml:space="preserve">Veiligheid  - veilig werken op hoogte (&gt;250 cm). </t>
    </r>
    <r>
      <rPr>
        <sz val="9"/>
        <color rgb="FF000000"/>
        <rFont val="Calibri"/>
        <family val="2"/>
      </rPr>
      <t>Om veilig te kunnen lopen mogen in een strook van minimaal 2 meter vanaf de dakrand geen panelen worden geplaatst op een dak en moet adequate veiligheidsborging worden toegepast bij werkzaamheden op hoogte.</t>
    </r>
  </si>
  <si>
    <t xml:space="preserve">VCA 'VOL' certificaat. Volgens de Arbowet, beleidsregel 3.16 zijn werknemer en werkgever samen verantwoordelijk voor het veilig werken op hoogtes. </t>
  </si>
  <si>
    <t>Ontwerp PV installatie (tekeningen legplan)</t>
  </si>
  <si>
    <t>Veiligheid - Geldende wetten en richtlijnen over veilig en gezond werken moeten worden gevolgd</t>
  </si>
  <si>
    <r>
      <rPr>
        <b/>
        <sz val="9"/>
        <color rgb="FF000000"/>
        <rFont val="Calibri"/>
        <family val="2"/>
      </rPr>
      <t xml:space="preserve">Onder meer </t>
    </r>
    <r>
      <rPr>
        <sz val="9"/>
        <color rgb="FF000000"/>
        <rFont val="Calibri"/>
        <family val="2"/>
      </rPr>
      <t>1) De Arbeidsomstandighedenwet, Arbobesluit, Arboregelingen; 2) Europese Richtlijnen over: Gezondheid en veiligheid (89/391/EEG); Veiligheid voor tijdelijke/mobiele werken (92/57/EEG); Zware lasten (90/269/EEG); Persoonlijke beschermingsmiddelen(89/656/EEG); Arbeidsmiddelen (2009/104/EG); Bescherming tegen trillingen (2002/44/EG); Machinerichtlijn (2006/42/EG).  </t>
    </r>
  </si>
  <si>
    <r>
      <t xml:space="preserve">Elektrische veiligheid - veilig werken met elektrische installaties: volgens norm NEN3140 </t>
    </r>
    <r>
      <rPr>
        <sz val="9"/>
        <color rgb="FF000000"/>
        <rFont val="Calibri"/>
        <family val="2"/>
      </rPr>
      <t>&lt;1,5kV DC en &lt;1kV AC)</t>
    </r>
    <r>
      <rPr>
        <b/>
        <sz val="9"/>
        <color rgb="FF000000"/>
        <rFont val="Calibri"/>
        <family val="2"/>
      </rPr>
      <t xml:space="preserve"> of NEN3840 (</t>
    </r>
    <r>
      <rPr>
        <sz val="9"/>
        <color rgb="FF000000"/>
        <rFont val="Calibri"/>
        <family val="2"/>
      </rPr>
      <t>&gt;1,5kV of &gt;1kV AC</t>
    </r>
    <r>
      <rPr>
        <b/>
        <sz val="9"/>
        <color rgb="FF000000"/>
        <rFont val="Calibri"/>
        <family val="2"/>
      </rPr>
      <t>)</t>
    </r>
  </si>
  <si>
    <r>
      <t xml:space="preserve">NEN 3140: </t>
    </r>
    <r>
      <rPr>
        <i/>
        <sz val="9"/>
        <color rgb="FF000000"/>
        <rFont val="Calibri"/>
        <family val="2"/>
      </rPr>
      <t xml:space="preserve">"relevante eisen voor bedrijfsvoering van laagspanningsinstallaties". </t>
    </r>
    <r>
      <rPr>
        <sz val="9"/>
        <color rgb="FF000000"/>
        <rFont val="Calibri"/>
        <family val="2"/>
      </rPr>
      <t>NEN 3840:</t>
    </r>
    <r>
      <rPr>
        <i/>
        <sz val="9"/>
        <color rgb="FF000000"/>
        <rFont val="Calibri"/>
        <family val="2"/>
      </rPr>
      <t xml:space="preserve"> "relevante eisen voor bedrijfsvoering van laagspanningsinstallaties".</t>
    </r>
  </si>
  <si>
    <r>
      <t xml:space="preserve">Elektrische veiligheid. </t>
    </r>
    <r>
      <rPr>
        <sz val="9"/>
        <color rgb="FF000000"/>
        <rFont val="Calibri"/>
        <family val="2"/>
      </rPr>
      <t xml:space="preserve">Degene die werkt aan elektrische verbindingen of aansluitingen maakt is gecertificeerd als elektriciën. </t>
    </r>
  </si>
  <si>
    <t xml:space="preserve">Uitvoerders moeten vakbekwaam zijn en de benodigde certificaten hebben. Opdrachtnemer heeft een installatieverantwoordelijke die beschikt over de benodigde certificaten, deze persoon dient aan opdrachtgever te zijn aangewezen incl contactgegevens. Opdrachtgever verstrekt in- en uitschakel procedures en andere werkprocedures aan opdrachtnemer. </t>
  </si>
  <si>
    <t>Geschiktheidseisen</t>
  </si>
  <si>
    <t>VCA certificaat opdrachtnemer</t>
  </si>
  <si>
    <t xml:space="preserve">Bedrijven moeten beschikken over een VCA certificaat  als zij de volgende werkzaamheden uitvoeren: plaatsen bevestigingssysteem, plaatsen zonnepanelen, electrotechnische werkzaamheden. </t>
  </si>
  <si>
    <t>Gedurende de bouwfase moet het VCA certificaat van uitvoerders worden getoond wanneer opdrachtgever dit vraagt.</t>
  </si>
  <si>
    <t>Werkzaamheden stilleggen en een uitvoerder inschakelen die wel beschikt over een VCA, eventuele extra kosten voor rekening van opdrachtnemer.</t>
  </si>
  <si>
    <t>Ervaring PV projecten</t>
  </si>
  <si>
    <t>3 vergelijkbare projecten naar tevredenheid opgeleverd</t>
  </si>
  <si>
    <t>3 projecten binnen afgelopen 4 jaar met een projectomvang van tenminste 30% van het aantal panelen van dit project</t>
  </si>
  <si>
    <t>Ervaring en tevredenheid van opdrachtgever aantonen via referenties eerdere opdrachtgevers of Scope 12 opleverrapporten van onafhankelijke partij</t>
  </si>
  <si>
    <t>Verplichte verzekeringen opdrachtnemer</t>
  </si>
  <si>
    <t xml:space="preserve">CAR-verzekering (Construction All Risk) </t>
  </si>
  <si>
    <t>&gt; € 1 miljoen</t>
  </si>
  <si>
    <t>De CAR verzekering dekt risico’s tijdens werkzaamheden opdrachtnemer. Vezekerde waarde tenminste 1 Mln en tenminste even hoog als de geschatte contractwaarde. Soms staan verzekerde bedragen in de algemene inkoopvoorwaarden, dat bedrag kan hier ook worden overgenomen. NB: optioneel kan een opdrachtgever de CAR verzekering ook zelf afsluiten. Zie ook de algemene inkoopvoorwaarden.</t>
  </si>
  <si>
    <t xml:space="preserve">CAR verzekerings polis vóór aanvang bouw tonen bij vraag opdrachtgever </t>
  </si>
  <si>
    <t>Werkzaamheden onmiddellijk stilleggen tot verzekering is afgesloten</t>
  </si>
  <si>
    <t>AVB-verzekering (Bedrijfsaansprakelijheidsverzekering)</t>
  </si>
  <si>
    <t>€ 10 miljoen</t>
  </si>
  <si>
    <t xml:space="preserve">Dekt schade die door medewerkers of produkten van opdrachtnemer is veroorzaakt. Dit kan gaan om kleine schades, maar ook om grote (letsel)schades. </t>
  </si>
  <si>
    <t>AVB polis vóór aanvang bouw tonen indien gevraagd door opdrachtgever</t>
  </si>
  <si>
    <t>Verwijderingsbijdrage en Einde levensduur</t>
  </si>
  <si>
    <t>De verwijderingsbijdrage voor het afvoeren van zonnepanelen bij einde levensduur, dient (via een leverancier) aan de Stichting OPEN te worden afgedragen</t>
  </si>
  <si>
    <t xml:space="preserve">Vanaf 1 juli 2023 wordt deze bijdrage vermeld op de facturen van groothandels en andere importeurs. </t>
  </si>
  <si>
    <t xml:space="preserve">Bij import van zonnepanelen door opdrachtnemer, die daarmee voor de wet “producent” is geworden, meldt de opdrachtgever zich aan bij Stichting OPEN waarna de administratieve verplichtingen, te weten de producentenopgave plus de afdracht van de afvalbeheerbijdrage worden geregeld. Bij aanschaf van zonnepanelen bij een Nederlandse partij zoals een groothandel, verwittigt de opdrachtnemer zich ervan dat deze Nederlandse partij is aangesloten bij Stichting OPEN. Op de website van Stichting OPEN is een overzicht te vinden van alle geregistreerde producten. </t>
  </si>
  <si>
    <t>Achteraf optioneel: controleer de factuur van de geleverde zonnepanelen</t>
  </si>
  <si>
    <t>Arbeidsvoorwaarden, opvolgen voorschriften</t>
  </si>
  <si>
    <r>
      <t xml:space="preserve">De montagevoorschriften </t>
    </r>
    <r>
      <rPr>
        <sz val="9"/>
        <color rgb="FF000000"/>
        <rFont val="Calibri"/>
        <family val="2"/>
      </rPr>
      <t xml:space="preserve">van de leveranciers/fabrikanten van de zonnepanelen, omvormer(s) en van de bevestigingsmaterialen dienen te worden opgevolgd.  </t>
    </r>
  </si>
  <si>
    <t>Scope 12 keuring</t>
  </si>
  <si>
    <r>
      <t xml:space="preserve">Arbeidsvoorwaarden in Nederland. </t>
    </r>
    <r>
      <rPr>
        <sz val="9"/>
        <color rgb="FF000000"/>
        <rFont val="Calibri"/>
        <family val="2"/>
      </rPr>
      <t xml:space="preserve">Er wordt voldaan aan de Nederlandse wetgeving op het gebied van arbeidsrecht, ook voor arbeidsmigranten. </t>
    </r>
  </si>
  <si>
    <r>
      <t xml:space="preserve">Indien arbeidsmigranten worden ingezet dient opdrachtgever te zorgen voor adequate huisvesting, betaling en mogen de wettelijk bepaalde arbeidstijden niet worden overschreden. </t>
    </r>
    <r>
      <rPr>
        <sz val="8"/>
        <color rgb="FF000000"/>
        <rFont val="Calibri (Hoofdtekst)"/>
      </rPr>
      <t>Huisvesting: indien arbeidsmigranten worden inzet mag er geen financiële afhankelijkheid zijn, direct noch indirect, tussen deze werknemers en hun opdrachtgever mbt huisvesting. Ook als werknemers via een uitzendbureau werken is er geen financiële afhankelijkheid tussen uitzendbureau en huisvesting van de werknemers.</t>
    </r>
  </si>
  <si>
    <t>Diverse optionele algemene eisen</t>
  </si>
  <si>
    <t>Optioneel, eventueel als eis opnemen voor projecten kleiner dan 1 MWp. Niet nodig voor speciale of grote projecten die door grote/internationale EPC'ers worden uitgevoerd.</t>
  </si>
  <si>
    <t>Optioneel. Soms is dit al afgedekt via de standaard inkoopvoorwaarden van opdrachtgever. Alternatief voor garantiestelling door moederbedrijf is het werken met laag-risico betaalvoorwaarden (achteraf/per mijlpaal).</t>
  </si>
  <si>
    <t xml:space="preserve">Optioneel voor grote projecten groter dan 20 MW. Digitale versie van de gegevens die door programma's als PVSyst en PVsol worden gebruikt om de productie van een zonnepark te voorspellen. Onafhankelijke .PAN files geven een check op de Performance Ratio en Yield van een project. </t>
  </si>
  <si>
    <t xml:space="preserve">Optioneel voor grote projecten &gt; 20 MWp waarbij grote uitvoeringsorganisaties worden betrokken. </t>
  </si>
  <si>
    <t xml:space="preserve">Eisen - Werkzaamheden </t>
  </si>
  <si>
    <t>Omschrijving eis</t>
  </si>
  <si>
    <t>Wanneer?</t>
  </si>
  <si>
    <t>Toelichting opdrachtgever</t>
  </si>
  <si>
    <t>Toelichting inschrijver</t>
  </si>
  <si>
    <t xml:space="preserve">Datums, planning en overleg </t>
  </si>
  <si>
    <t>Werkzaamheden dienen te worden gestart:</t>
  </si>
  <si>
    <t>Voor locatie .. binnen .. maanden na gunning / per datum ..</t>
  </si>
  <si>
    <t>Eventueel een lijst opnemen met data per locatie</t>
  </si>
  <si>
    <t>De Voorlopige Oplevering van het project dient plaats te vinden voor:</t>
  </si>
  <si>
    <t>Voor locatie .. binnen .. maanden na gunning / voor datum ..</t>
  </si>
  <si>
    <t xml:space="preserve">Voorlopige oplevering ('construction complete'): alle geplande werkzaamheden zijn afgerond, de installatie is in principe gereed om stroom te leveren aan het net. De Scope 12 keuring vindt hierna plaats. Eventueel een lijst opnemen met data per locatie. </t>
  </si>
  <si>
    <t xml:space="preserve">Tenzij volledig buiten de invloed van opdrachtnemer, als de oplevering meer dan 30 dagen is vertraagd, geldt een boete per dag ter grootte van 0,1% van de inschrijfprijs indien deze dag valt tussen  1 oktober en 31 maart, en 0,15% indien de dag valt tussen 1 april en 30 september. </t>
  </si>
  <si>
    <t xml:space="preserve">Planning - Opstellen, afstemmen (met opdrachtgever/eindgebruiker) en verstrekken van een planning van werkzaamheden </t>
  </si>
  <si>
    <t>Ná gunning, maar vóór aanvang uitvoering</t>
  </si>
  <si>
    <t>Uitvoering van werkzaamheden vindt plaats conform afgestemde planning</t>
  </si>
  <si>
    <t xml:space="preserve">Aanpassingen van de planning mogelijk na overleg en wederzijdse goedkeuring. </t>
  </si>
  <si>
    <t>Deelnemen aan bouw- of werkvergaderingen indien opdrachtgever van mening is dat het werk hierom vraagt</t>
  </si>
  <si>
    <t xml:space="preserve">Documentatie, tekeningen, berekeningen </t>
  </si>
  <si>
    <t xml:space="preserve">Aanleveren van diverse documenten, tekeningen en berekeningen: </t>
  </si>
  <si>
    <t>a) Eendraadschema’s/single lines (AC, DC en inkoppeling in de bestaande installatie);</t>
  </si>
  <si>
    <t>b) legplan PV panelen;</t>
  </si>
  <si>
    <t>c) bij dakprojecten: Constructieberekeningen/windberekeningen;</t>
  </si>
  <si>
    <t>d) Kabelverliesberekening (zowel AC als DC kabels);</t>
  </si>
  <si>
    <t>e) Datasheets zonnepanelen, omvormers, draagconstructie, bekabeling, meterborden;</t>
  </si>
  <si>
    <t>f) Bij dakprojecten: Uitvoeringsplan o.a. bestaande uit het opstelplan PV-panelen tijdens plaatsing op het dak en hijsplan.</t>
  </si>
  <si>
    <t>Risico Inventarisatie en Evaluatie (R,I&amp;E)</t>
  </si>
  <si>
    <t>Opstellen van een R,I&amp;E van de werkzaamheden en de te nemen beheersmaatregelen</t>
  </si>
  <si>
    <t xml:space="preserve">Arbowet Artikel 5 - opdrachtnemer dient een R,I&amp;E te hebben afhankelijk van de locatie. Vaak volstaat het meeste uit eerdere R,I &amp; E's en wordt 10% aangepast worden voor het project. </t>
  </si>
  <si>
    <t>R,I&amp;E rapport</t>
  </si>
  <si>
    <t>Uitvoeringswerkzaamheden Opdrachtnemer (of onderaannemer)</t>
  </si>
  <si>
    <t xml:space="preserve">Het leveren, plaatsen en monteren van PV-panelen en bevestigingssysteem voor de PV-panelen. </t>
  </si>
  <si>
    <t>scope 12 keuring</t>
  </si>
  <si>
    <t xml:space="preserve">Het leveren en plaatsen en werkend elektrisch aansluiten van een geschikt elektrisch systeem inclusief bekabeling, omvormers en bijbehorende componenten, aangesloten op de zonnepanelen. </t>
  </si>
  <si>
    <t>Het aansluiten op de bestaande elektrische netaansluiting  OF het aansluiten op een nieuwe elektrische netaansluiting</t>
  </si>
  <si>
    <t xml:space="preserve">Het aanmelden van de PV-installatie bij de netbeheerder en op www.energieleveren.nl </t>
  </si>
  <si>
    <t>Kopie aanmelding</t>
  </si>
  <si>
    <t>Het aansluiten van een geijkte brutoproductiemeter</t>
  </si>
  <si>
    <t>Alle overige werkzaamheden die voortvloeien uit bovenstaande onderdelen, zodanig dat het project turn-key opgeleverd kan worden</t>
  </si>
  <si>
    <t>Aanleveren van een volledige opleverrapportage met de informatie die is beschreven in eis 6.1</t>
  </si>
  <si>
    <t>opleverrapportage</t>
  </si>
  <si>
    <t>Indien nodig, het verbeteren van de installatie tot voldaan wordt aan de eisen van dit document (bijvoorbeeld indien afwijkingen ten opzichte van eisen zijn geconstateerd tijdens de Scope 12 keuring).</t>
  </si>
  <si>
    <t>Nota Bene: opdrachtgever zal een onafhankelijke keuring van de gehele zonnestroominstallatie volgens Scios Scope 12 organiseren.</t>
  </si>
  <si>
    <t>O&amp;M rapportages</t>
  </si>
  <si>
    <t xml:space="preserve">Eisen aan de Zonnepanelen </t>
  </si>
  <si>
    <t>Verificatie en validatie</t>
  </si>
  <si>
    <t>Kwaliteit en veiligheid</t>
  </si>
  <si>
    <t>Panelen voldoen aan: IEC 61215, IEC 61730-1 en IEC 61730-2. Minimaal Safety Class II volgens IEC 61730-2.</t>
  </si>
  <si>
    <t xml:space="preserve">IEC61215 is minimale kwaliteitseis om aan te tonen dat het paneel tenminste 5 jaar mee gaat. IEC 61730 gaat over de elektrische veiligheid en brandklasse van het zonnepaneel. </t>
  </si>
  <si>
    <t>Standaard eisen: alle reguliere zonnepanelen die via groothandels worden aangeboden voldoen hier aan. Wordt genoemd op datasheet.</t>
  </si>
  <si>
    <t>Controle van de opleverrapportage waarin het Datasheet zonnepaneel aanwezig moet zijn, of Scope 12 keuring</t>
  </si>
  <si>
    <t>Vervangen door zonnepanelen die aan de eis voldoen</t>
  </si>
  <si>
    <t>Vermogensgarantie (Power Warranty) van tenminste 85% in jaar 25</t>
  </si>
  <si>
    <t xml:space="preserve">Vrijwel alle standaard zonnepanelen voldoen aan deze eis. </t>
  </si>
  <si>
    <t>In jaar 25 levert het paneel nog minimaal 85% van de opwek in nieuwstaat.</t>
  </si>
  <si>
    <t>Power warrantee via opleverrapportage en Scope 12 keuring</t>
  </si>
  <si>
    <t>De DC-connectors zijn van het type MC4 of MC4-EVO en voldoen aan IEC 62852</t>
  </si>
  <si>
    <t xml:space="preserve">MC4/MC4 EVO is de meestgebruikte stekker en heeft bewezen kwaliteit.  </t>
  </si>
  <si>
    <t>Standaard, zie datsheet zonnepaneel. Maar let op dat exact dezelfde connectors (zelfde producent en type) worden gebruikt voor alle DC kabels, dat die los kunnen worden gekocht.</t>
  </si>
  <si>
    <t>Datasheet zonnepaneel via opleverrapportage, en Scope 12 keuring</t>
  </si>
  <si>
    <t xml:space="preserve">Indien 'p-type' kristallijn silicum cellen worden gebruikt voldoen de zonnepanelen aan de norm IEC62804  (PID-resistant). </t>
  </si>
  <si>
    <t xml:space="preserve">Indien p-type c-Si cellen worden toegepast in het zonnepaneel (bijvoorbeeld PERC cellen) dan kan de opwek sterk achteruitgaan door 'potential induced degradation' (PID). Dat kan worden voorkomen met bepaalde materialen en getest met deze norm. </t>
  </si>
  <si>
    <t xml:space="preserve">Indien zonnepanelen met p-type siliciumcellen (bijvoorbeeld PERC) worden voorgesteld moeten deze voldoen aan IEC62804 (staat vermeld op de datasheet). NB: bij veel andere zonneceltypen (HJT, Topcon, IBC, CdTe, CIGS, a-Si, n-PERT) is dit effect afwezig en is deze test overbodig. </t>
  </si>
  <si>
    <t>Datasheet via opleverrapportage en Scope 12 keuring</t>
  </si>
  <si>
    <t>Duurzaamheid</t>
  </si>
  <si>
    <r>
      <t xml:space="preserve">Carbon Footprint (CFP) van maximaal 550 kg CO2-eq per kWp, </t>
    </r>
    <r>
      <rPr>
        <sz val="9"/>
        <color rgb="FF000000"/>
        <rFont val="Calibri"/>
        <family val="2"/>
      </rPr>
      <t>volgens de Franse methode "E</t>
    </r>
    <r>
      <rPr>
        <i/>
        <sz val="9"/>
        <color rgb="FF000000"/>
        <rFont val="Calibri"/>
        <family val="2"/>
      </rPr>
      <t>valuation Carbone Simplifiée"</t>
    </r>
    <r>
      <rPr>
        <sz val="9"/>
        <color rgb="FF000000"/>
        <rFont val="Calibri"/>
        <family val="2"/>
      </rPr>
      <t xml:space="preserve"> in beheer van het Franse milieu-agentschap Adème</t>
    </r>
    <r>
      <rPr>
        <b/>
        <sz val="9"/>
        <color rgb="FF000000"/>
        <rFont val="Calibri"/>
        <family val="2"/>
      </rPr>
      <t xml:space="preserve">. </t>
    </r>
    <r>
      <rPr>
        <sz val="9"/>
        <color rgb="FF000000"/>
        <rFont val="Calibri"/>
        <family val="2"/>
      </rPr>
      <t xml:space="preserve">Certificaat moet geldig zijn bij de start van de bouw en opgesteld volgens de Adème richtlijnen CRE4/PPE2. </t>
    </r>
  </si>
  <si>
    <t xml:space="preserve">Deze limiet is gelijk aan die in Frankrijk en komt neer op halvering van de Carbon Footprint van mainstream panelen. Bij deze limiet is er nog ruime keuze, ook bij Chinese tier 1 fabrikanten, tegen een geringe meerprijs. </t>
  </si>
  <si>
    <r>
      <t>In het document '</t>
    </r>
    <r>
      <rPr>
        <i/>
        <sz val="9"/>
        <color rgb="FF000000"/>
        <rFont val="Calibri"/>
        <family val="2"/>
      </rPr>
      <t>Duurzaamheidsaspecten en marktscan Duurzamere Zonnepanelen</t>
    </r>
    <r>
      <rPr>
        <sz val="9"/>
        <color rgb="FF000000"/>
        <rFont val="Calibri"/>
        <family val="2"/>
      </rPr>
      <t>'</t>
    </r>
    <r>
      <rPr>
        <b/>
        <sz val="9"/>
        <color rgb="FF000000"/>
        <rFont val="Calibri"/>
        <family val="2"/>
      </rPr>
      <t xml:space="preserve"> </t>
    </r>
    <r>
      <rPr>
        <sz val="9"/>
        <color rgb="FF000000"/>
        <rFont val="Calibri"/>
        <family val="2"/>
      </rPr>
      <t xml:space="preserve">staan producenten genoemd die kunnen voldoen aan deze eis. Diverse andere producenten kunnen er ook aan voldoen. Via de producent of groothandel kan het ECs certificaat worden opgevraagd. </t>
    </r>
  </si>
  <si>
    <t>Controle van de opleverrapportage waarin het ECs certificaat behorende bij de geïnstalleerde zonnepanelen moet zijn toegevoegd, of tijdens de Scope 12 keuring</t>
  </si>
  <si>
    <r>
      <t xml:space="preserve">PFAS-vrije backsheet. </t>
    </r>
    <r>
      <rPr>
        <sz val="9"/>
        <color rgb="FF000000"/>
        <rFont val="Calibri"/>
        <family val="2"/>
      </rPr>
      <t xml:space="preserve">Bijvoorbeeld een glasplaat (glas-glas zonnepanelen) of een kunststof backsheet zonder fluorpolymeren. </t>
    </r>
  </si>
  <si>
    <t>De meeste zonnepanelen bevatten PVDF (Tedlar), PVF (Kynar) of andere fluorhoudende polymeren en coatings.  Deze PFAS materialen kunnen tijdens productie of gebruik (via poedervorming, afbladderen) in het milieu terechtkomen en leiden tot gezondheidsschade. PFAS-vrije alternatieven hebben geen of nauwelijks meerkosten.</t>
  </si>
  <si>
    <r>
      <t xml:space="preserve">In het document </t>
    </r>
    <r>
      <rPr>
        <i/>
        <sz val="9"/>
        <color rgb="FF000000"/>
        <rFont val="Calibri"/>
        <family val="2"/>
      </rPr>
      <t>'Duurzaamheidsaspecten en marktscan Duurzamere Zonnepanelen'</t>
    </r>
    <r>
      <rPr>
        <b/>
        <sz val="9"/>
        <color rgb="FF000000"/>
        <rFont val="Calibri"/>
        <family val="2"/>
      </rPr>
      <t xml:space="preserve"> </t>
    </r>
    <r>
      <rPr>
        <sz val="9"/>
        <color rgb="FF000000"/>
        <rFont val="Calibri"/>
        <family val="2"/>
      </rPr>
      <t xml:space="preserve">staan voorbeelden van zonnepanelen die hieraan voldoen. SVP informeren bij groothandel/producent. Indien zonnepanelen met kunststof backsheet worden toegepast en indien deze geen expliciete vermelding maken van de gebruikte backsheetmaterialen op het datasheet, dan is een losse bevestiging nodig van de paneelfabrikant dat deze zonnepanelen een PFAS-vrije backsheet bevatten. </t>
    </r>
  </si>
  <si>
    <t>Controle van de opleverrapportage waarin datasheet of het attest aanwezig moet zijn, of tijdens de Scope 12 keuring</t>
  </si>
  <si>
    <t>Optionele eisen aan zonnepanelen</t>
  </si>
  <si>
    <r>
      <t xml:space="preserve">Meestal niet nodig maar wel een </t>
    </r>
    <r>
      <rPr>
        <i/>
        <sz val="9"/>
        <color rgb="FF000000"/>
        <rFont val="Calibri"/>
        <family val="2"/>
      </rPr>
      <t xml:space="preserve">must-have </t>
    </r>
    <r>
      <rPr>
        <sz val="9"/>
        <color rgb="FF000000"/>
        <rFont val="Calibri"/>
        <family val="2"/>
      </rPr>
      <t xml:space="preserve">bij stallen. Ammoniakbestendigheid is alleen nodig indien sprake is van een hoge ammoniakconcentratie - bijvoorbeeld stalhouderijen - kip/varken/rundvee) </t>
    </r>
  </si>
  <si>
    <t>Staat op veel datasheets</t>
  </si>
  <si>
    <r>
      <t xml:space="preserve">Meestal niet nodig, maar wel een </t>
    </r>
    <r>
      <rPr>
        <i/>
        <sz val="9"/>
        <color rgb="FF000000"/>
        <rFont val="Calibri"/>
        <family val="2"/>
      </rPr>
      <t xml:space="preserve">must-have </t>
    </r>
    <r>
      <rPr>
        <sz val="9"/>
        <color rgb="FF000000"/>
        <rFont val="Calibri"/>
        <family val="2"/>
      </rPr>
      <t xml:space="preserve">aan de kust. Bestendigheid tegen zoute lucht (salt mist) is alleen nodig indien PV installatie dicht bij de zee komt </t>
    </r>
    <r>
      <rPr>
        <sz val="9"/>
        <color rgb="FF000000"/>
        <rFont val="Calibri (Hoofdtekst)"/>
      </rPr>
      <t>(minder dan 1 km van zee)</t>
    </r>
    <r>
      <rPr>
        <sz val="9"/>
        <color rgb="FF000000"/>
        <rFont val="Calibri"/>
        <family val="2"/>
      </rPr>
      <t xml:space="preserve"> </t>
    </r>
  </si>
  <si>
    <t>Bij veel projecten is dit niet nodig. 'All-black' panelen worden vooral toegepast op schuine daken die in het zicht liggen. Deze zijn iets duurder en hebben een fractie lagere prestaties t.o.v. panelen met een witte backsheet. Zonnepanelen in een kleur zijn fors duurder en hebben een lagere efficiency.</t>
  </si>
  <si>
    <t>Zwart of gekleurd frame is vaak niet nodig, maar wel duurder.</t>
  </si>
  <si>
    <t>Eisen aan elektrische installatie, omvormers, bekabeling en overige elektrische componenten</t>
  </si>
  <si>
    <t>A. Elektrische installatie</t>
  </si>
  <si>
    <t>De installatie is veilig en voldoet aan de NEN1010 en NEN7250</t>
  </si>
  <si>
    <r>
      <t xml:space="preserve">Het systeem moet voorzien zijn van een DC-lastscheider ten behoeve van onderhoudswerkzaamheden. </t>
    </r>
    <r>
      <rPr>
        <sz val="9"/>
        <color rgb="FF000000"/>
        <rFont val="Calibri"/>
        <family val="2"/>
      </rPr>
      <t xml:space="preserve">Deze dient zich naast of in de omvormers te bevinden. </t>
    </r>
  </si>
  <si>
    <r>
      <t xml:space="preserve">Inductielussen tussen positieve en negatieve DC-kabels (rood/ zwart) klein houden. </t>
    </r>
    <r>
      <rPr>
        <sz val="9"/>
        <color rgb="FF000000"/>
        <rFont val="Calibri"/>
        <family val="2"/>
      </rPr>
      <t>De retourkabel van iedere string volgt hetzelfde pad als de modulekabel, binnen 1 meter afstand van de modulekabel.</t>
    </r>
  </si>
  <si>
    <t>De DC-bekabeling dient te worden voorzien van codering voor polariteit (zwart/rood of +/- ) en het stringnummer.</t>
  </si>
  <si>
    <t>Er dient een overspanningsbeveiliging (surge protection device) te worden aangebracht de NEN 62305-4:2011.</t>
  </si>
  <si>
    <t>Een SPD beschermt oa de omvormer tegen brand door direkte of indirecte blikseminslag</t>
  </si>
  <si>
    <t>B. Aansluiten van zonnepanelen</t>
  </si>
  <si>
    <t xml:space="preserve">Panelen die in serie (aan 1 string) worden aangesloten op de omvormer, dienen dezelfde hellinghoek en oriëntatie te hebben. </t>
  </si>
  <si>
    <t>C. Omvormers</t>
  </si>
  <si>
    <r>
      <t>Omvormers voldoen aan: EN50524, IEC61683, IEC 62109, NEN-EN 50438, IEC 60068.</t>
    </r>
    <r>
      <rPr>
        <sz val="9"/>
        <color rgb="FF000000"/>
        <rFont val="Calibri"/>
        <family val="2"/>
      </rPr>
      <t xml:space="preserve"> IEC 61683: Measuring efficiency of power conditioners in PV systems. EN 50524: Data sheet information for PV inverters. IEC 62109: Safety of power converters in PV systems. NEN-EN 50438: Micro-generating plants  connected w public low-voltage distribution networks. EN 60068: Environmental testing, ability to perform under expected conditions of transportation, storage and use. </t>
    </r>
  </si>
  <si>
    <t>Standaard eisen</t>
  </si>
  <si>
    <t>Meeste omvormers voldoen aan deze eisen, staan op de datasheet</t>
  </si>
  <si>
    <t>5/10 jaar</t>
  </si>
  <si>
    <r>
      <rPr>
        <b/>
        <sz val="9"/>
        <color rgb="FF000000"/>
        <rFont val="Calibri"/>
        <family val="2"/>
      </rPr>
      <t xml:space="preserve">EMC eisen. </t>
    </r>
    <r>
      <rPr>
        <sz val="9"/>
        <color rgb="FF000000"/>
        <rFont val="Calibri"/>
        <family val="2"/>
      </rPr>
      <t>De omvormers, de zonnepanelen en eventuele andere apparatuur dienen te voldoen aan de industriële EMC-eisen conform NEN-EN-IEC 61000-6-2 (immuniteit) en NEN-EN-IEC 61000-6-4 (emissie)</t>
    </r>
  </si>
  <si>
    <t>Bij een dak opstelling dient de omvormer minimaal te worden uitgevoerd in IP65, inclusief bescherming tegen zonlicht en conform overige voorschriften van de fabrikant.</t>
  </si>
  <si>
    <t xml:space="preserve">Omvormers hebben een EU rendement ≥ 98%. </t>
  </si>
  <si>
    <t xml:space="preserve">Omvormers zijn zelf voorzien van een vlamboogdetectie of er is voor alle op de omvormers aangesloten strings met zonnepanelen een extern apparaat voor vlamboogdetectie. </t>
  </si>
  <si>
    <t xml:space="preserve">Omvormerfabrikant is een gerenommeerde partij en in bezit van een ISO 9001 en ISO 14001 certificaat </t>
  </si>
  <si>
    <t xml:space="preserve">Reserve onderdelen zijn normaal gesproken binnen 72uur te leveren (bijvoorbeeld via een voorraadhoudend service center in de EU) </t>
  </si>
  <si>
    <t>Omvormers voldoen aan de richtlijnen van netbeheerders , zijn geschikt voor het Nederlandse elektriciteitsnet en zijn voorzien van CE markering (conformiteit aan EU regelgeving)</t>
  </si>
  <si>
    <t>Er dient een schakelaar aanwezig te zijn aan de AC zijde van de omvormer om deze spanningsloos te maken voor bijvoorbeeld onderhoud.</t>
  </si>
  <si>
    <t>Omvormers dienen een geïntegreerde net-ontkoppelingsbeveiliging hebben die voldoet aan VDE0126-1.</t>
  </si>
  <si>
    <t xml:space="preserve">Voor Drente, Groningen, Friesland, Overijssel en Gelderland: indien de zonnestroominstallatie wordt geplaatst binnen de beschermingszone van Astron (zie https://www.astron.nl/beschermingszones/), dienen de omvormers te voldoen aan de eisen van Astron. Zie de 'white list' met goedgekeurde omvormers op genoemde webpagina. </t>
  </si>
  <si>
    <t>https://www.astron.nl/beschermingszones/</t>
  </si>
  <si>
    <t>Er dient voldoende ruimte gelaten te worden tussen de omvormers, conform de voorschriften van de fabrikant.</t>
  </si>
  <si>
    <t>De opstelplaats van de omvormers dient te worden voorgesteld door de opdrachtnemer en in onderling overleg met opdrachtgever definitief te worden bepaald.</t>
  </si>
  <si>
    <t>De omvormers dienen eenvoudig bereikbaar te zijn voor service en onderhoud.</t>
  </si>
  <si>
    <t>Indien geluid een probleem kan vormen</t>
  </si>
  <si>
    <t>Indien locatie dicht bij zee</t>
  </si>
  <si>
    <t>IP6x om te voorkomen dat een storm o.i.d. schade veroorzaakt. IPx5 om te voorkomen dat een ijverige schoonmaker met een tuinslang de omvormer stuk maakt.</t>
  </si>
  <si>
    <t xml:space="preserve">Ter voorkoming van oneigenlijk gebruik, diefstal of vandalisme, dienen deze afgesloten te worden. </t>
  </si>
  <si>
    <t>D. Kabels, connectors, kabelgoten</t>
  </si>
  <si>
    <t>DC-connectoren zijn van het type MC4 en voldoen aan IEC 62852</t>
  </si>
  <si>
    <t>DC-connectoren die met elkaar verbinden (male-female) dienen van hetzelfde type en fabricant te zijn</t>
  </si>
  <si>
    <t>DC-connectoren zijn minimaal klasse IP65.</t>
  </si>
  <si>
    <t>Alle bekabeling voldoet aan IEC 60364-7-712  sectie 712.522 (requirements for PV supply systems), IEC 60364-5-52 (elektra kabels in gebouwen); IEC 60332-1-2 (brandwerendheid), EN 50396 (non electrical tests)</t>
  </si>
  <si>
    <t xml:space="preserve">Alle DC bekabeling is geschikt voor Solar toepassingen en is UV- en Ozonbestendig. </t>
  </si>
  <si>
    <t>Alle DC-zijdige onderdelen (oa kabels en connectors) dienen te zijn ontworpen op ≥ 1,15 keer de openklemspanning op het leiding tracé.</t>
  </si>
  <si>
    <r>
      <t>Verschillende types kabels</t>
    </r>
    <r>
      <rPr>
        <sz val="9"/>
        <color rgb="FF000000"/>
        <rFont val="Calibri"/>
        <family val="2"/>
      </rPr>
      <t xml:space="preserve"> (bijv. DC, AC en</t>
    </r>
    <r>
      <rPr>
        <b/>
        <sz val="9"/>
        <color rgb="FF000000"/>
        <rFont val="Calibri"/>
        <family val="2"/>
      </rPr>
      <t xml:space="preserve"> </t>
    </r>
    <r>
      <rPr>
        <sz val="9"/>
        <color rgb="FF000000"/>
        <rFont val="Calibri (Hoofdtekst)"/>
      </rPr>
      <t xml:space="preserve">data </t>
    </r>
    <r>
      <rPr>
        <sz val="9"/>
        <color rgb="FF000000"/>
        <rFont val="Calibri"/>
        <family val="2"/>
      </rPr>
      <t>kabels) worden gescheiden van elkaar aangebracht.</t>
    </r>
  </si>
  <si>
    <t>Scios scope 12 keuring</t>
  </si>
  <si>
    <t>Kabels worden gedimensioneerd volgens NEN 1010</t>
  </si>
  <si>
    <t xml:space="preserve">Kabelverliezen: onder maximale belasting mag er maximaal 2% verlies aan DC-zijde zijn en maximaal 1% verlies aan AC zijde. </t>
  </si>
  <si>
    <t>Eventueel aanpassen aan specifieke situatie; bij heel lange kabels kan een hoger % verlies acceptabel worden mbt afweging kosten/baten</t>
  </si>
  <si>
    <t xml:space="preserve">Kabels worden deugdelijk mechanisch bevestigd. </t>
  </si>
  <si>
    <t>Kabels worden in kabelgoten of buizen gelegd. Het kabeltracé van het Zonne-energiesysteem dient ten hoogste 80% te zijn gevuld bij nieuwe tracé's en ten hoogste 100% bij bestaande tracé's.</t>
  </si>
  <si>
    <t>Kabelgoten worden niet rechtstreeks op het dak geplaatst maar middels rubbers of pootjes op het dak of aan aan de onderconstructie bevestigd. Doorhangen dient te worden voorkomen.</t>
  </si>
  <si>
    <t>De kabelgoot dient te allen tijde hoger te hangen of staan dan de maximale waterstand op het dak.</t>
  </si>
  <si>
    <t>Kabels worden in bochten van maximaal 90 graden gelegd</t>
  </si>
  <si>
    <t xml:space="preserve">Kabels worden zodanig gemonteerd dat de kans dat er vocht of vloeistoffen in de kabels of connectoren kan komen minimaal is. </t>
  </si>
  <si>
    <t>Kabeldoorvoeren en dakdoorvoeren dienen waterdicht te worden opgeleverd. Dit dient conform "vak richtlijn gesloten dak systeem" (laatste versie) en geveldoorvoeren conform bouwbesluit 2012 te worden uitgevoerd.</t>
  </si>
  <si>
    <t xml:space="preserve">Kabels worden zodanig gelegd dat ze beschermd worden tegen insnijden. </t>
  </si>
  <si>
    <t>Eventuele dakdoorvoeren moeten deugdelijk worden aangedracht zodat het dak waterdicht blijft ook tijdens regenbuien.</t>
  </si>
  <si>
    <t>E. Meterkast en aansluiting elektriciteitsnet</t>
  </si>
  <si>
    <t xml:space="preserve">Het aansluitpunt dient per omvormer een groep te hebben, een extra verbruiksgroep t.b.v. monitoringssystemen en een bruto productiemeter voor het systeem. </t>
  </si>
  <si>
    <t xml:space="preserve">De bruto productiemeter dient te voldoen aan de eisen gesteld vanuit de SDE++ subsidie. </t>
  </si>
  <si>
    <t>Bij het aanpassen van de verdeelkast dient bij de betreffende (automatische) zekeringen vermeld te worden dat het om een zonnestroominstallatie gaat met een sticker en/of resopalplaatje: "LET OP: Zonnestroominstallatie" (of vergelijkbaar). Deze stickers dienen eveneens te worden geplaatst op de gebruikte installatiebuis en eventuele lasdozen.</t>
  </si>
  <si>
    <t>Optionele eisen mbt omvormers</t>
  </si>
  <si>
    <t xml:space="preserve">Bijvoorbeeld als er sprake is van netcongestie in het gebied waardoor er tijdelijk niet teruggeleverd mag worden. </t>
  </si>
  <si>
    <t xml:space="preserve">Eisen - Bevestigingsconstructie </t>
  </si>
  <si>
    <t xml:space="preserve">I) Algemene eisen - bevestigingsconstructie </t>
  </si>
  <si>
    <t>Stalen onderdelen moeten beschermd zijn tegen corrosie.</t>
  </si>
  <si>
    <t>De bevestigingsmaterialen dienen te voldoen aan de NEN-EN-ISO 10683.</t>
  </si>
  <si>
    <r>
      <t>NEN-EN-ISO 10683: "</t>
    </r>
    <r>
      <rPr>
        <i/>
        <sz val="9"/>
        <color rgb="FF000000"/>
        <rFont val="Calibri"/>
        <family val="2"/>
      </rPr>
      <t>Bevestigingsartikelen - Niet-elektrolytisch aangebrachte deklagen van zink"</t>
    </r>
  </si>
  <si>
    <r>
      <t xml:space="preserve">Galvanische corrosie. </t>
    </r>
    <r>
      <rPr>
        <sz val="9"/>
        <color rgb="FF000000"/>
        <rFont val="Calibri"/>
        <family val="2"/>
      </rPr>
      <t xml:space="preserve">Materialen dienen zodanig gekozen  te worden dat er geen nadelige effecten optreden door verschil in edelheid tussen de gebruikte metalen en materialen. </t>
    </r>
  </si>
  <si>
    <t xml:space="preserve">Bijvoorbeeld: Als bepaalde staallegeringen in direkt mechanisch contact staat met aluminium onderdelen, kan dat bij bepaalde gewichtsverhoudingen leiden tot galvanische corrosie. </t>
  </si>
  <si>
    <r>
      <t xml:space="preserve">Robuustheid, Eurocode. </t>
    </r>
    <r>
      <rPr>
        <sz val="9"/>
        <color rgb="FF000000"/>
        <rFont val="Calibri"/>
        <family val="2"/>
      </rPr>
      <t xml:space="preserve">De robuustheid van de constructie zoals bedoeld in NEN-EN1990 moet tijdens de gehele gebruiksperiode voldoende zijn. </t>
    </r>
  </si>
  <si>
    <r>
      <t xml:space="preserve">NEN-EN1990: </t>
    </r>
    <r>
      <rPr>
        <i/>
        <sz val="9"/>
        <color rgb="FF000000"/>
        <rFont val="Calibri"/>
        <family val="2"/>
      </rPr>
      <t xml:space="preserve">"Eurocode - Grondslagen van het constructief ontwerp". Deze norm </t>
    </r>
    <r>
      <rPr>
        <sz val="9"/>
        <color rgb="FF000000"/>
        <rFont val="Calibri"/>
        <family val="2"/>
      </rPr>
      <t xml:space="preserve">stelt de beginselen vast van eisen van veiligheid, bruikbaarheid en duurzaamheid van constructies. Het omschrijft de grondslagen voor ontwerp, berekening en toetsing en geeft richtlijnen voor samenhangende aspecten van de constructieve betrouwbaarheid. </t>
    </r>
  </si>
  <si>
    <t>II)  Constructie-eisen in geval van PV op DAK</t>
  </si>
  <si>
    <r>
      <t xml:space="preserve">Ontwerp is bestand tegen te verwachten belasting. </t>
    </r>
    <r>
      <rPr>
        <sz val="9"/>
        <color rgb="FF000000"/>
        <rFont val="Calibri"/>
        <family val="2"/>
      </rPr>
      <t xml:space="preserve">Het ontwerp van de constructie en het constructiemateriaal dient te voldoen aan de NEN 7250 en Eurocode1 (EN 1991-1-4). Controle ontwerp na gunning, maar vóór aanvang installatie. </t>
    </r>
  </si>
  <si>
    <r>
      <t xml:space="preserve">Normen met betrekking tot bouwkundige aspecten en windbelasting. NEN 7250: </t>
    </r>
    <r>
      <rPr>
        <i/>
        <sz val="9"/>
        <color rgb="FF000000"/>
        <rFont val="Calibri"/>
        <family val="2"/>
      </rPr>
      <t xml:space="preserve">"Zonne-energiesystemen - Integratie in daken en gevels - Bouwkundige aspecten". </t>
    </r>
    <r>
      <rPr>
        <sz val="9"/>
        <color rgb="FF000000"/>
        <rFont val="Calibri"/>
        <family val="2"/>
      </rPr>
      <t xml:space="preserve">Eurocode 1 - EN 1991-1-4:  </t>
    </r>
    <r>
      <rPr>
        <i/>
        <sz val="9"/>
        <color rgb="FF000000"/>
        <rFont val="Calibri"/>
        <family val="2"/>
      </rPr>
      <t>"Belastingen op constructies - Deel 1-4: Algemene belastingen - Windbelasting"</t>
    </r>
  </si>
  <si>
    <t xml:space="preserve">Leveranciers van materialen voor dakbevestigingsconstructie hebben meestal software of een webapplicatie waarmee de ballast kan worden berekend die voldoet aan deze normen. </t>
  </si>
  <si>
    <t xml:space="preserve">Rapportage van het voorgesteld ontwerp via de software of webapplicatie van de materiaal-leverancier bevestigingsconstructie, vóór plaatsing voorleggen aan Opdrachtgever. </t>
  </si>
  <si>
    <t>Indien nodig in overleg aanpassen</t>
  </si>
  <si>
    <r>
      <t xml:space="preserve">Ontwerp PV systeem moet compatibel zijn met het dak. </t>
    </r>
    <r>
      <rPr>
        <sz val="9"/>
        <color rgb="FF000000"/>
        <rFont val="Calibri"/>
        <family val="2"/>
      </rPr>
      <t xml:space="preserve">De belastingen die door het PV systeem, in combinatie met weeromstandigheden (sneeuw, regen, wind), op het dak en de dakconstructie kunnen worden uitgeoefend mogen niet boven de draagkracht van het dak en de dakconstructie uitkomen. Controle ontwerp na gunning, maar vóór aanvang installatie. </t>
    </r>
  </si>
  <si>
    <t>Bij 'zwakke' daken, ongeschikt voor standaard constructies met zware ballast, kan worden overwogen het dak of d edakconstructie te verstevigen, of speciale bevestigingsconstructies toe te passen, of speciale zonnepanelen die bijvoorbeeld worden verlijmd aan het dak.</t>
  </si>
  <si>
    <r>
      <t xml:space="preserve">Het ontwerp van de PV-installatie, inclusief tekeningen van de constructie met ballast-locaties en het gewicht daarvan, </t>
    </r>
    <r>
      <rPr>
        <sz val="9"/>
        <color rgb="FF000000"/>
        <rFont val="Calibri (Hoofdtekst)"/>
      </rPr>
      <t>wordt minimaal 4 weken vóór plaatsing ter goedkeuring voorgelegd aan Opdrachtgever</t>
    </r>
    <r>
      <rPr>
        <sz val="9"/>
        <color rgb="FF000000"/>
        <rFont val="Calibri"/>
        <family val="2"/>
      </rPr>
      <t>.</t>
    </r>
  </si>
  <si>
    <r>
      <t xml:space="preserve">Aarding. </t>
    </r>
    <r>
      <rPr>
        <sz val="9"/>
        <color rgb="FF000000"/>
        <rFont val="Calibri"/>
        <family val="2"/>
      </rPr>
      <t xml:space="preserve">De volledige onderconstructie van de panelen dient geaard uitgevoerd te worden. </t>
    </r>
  </si>
  <si>
    <t>Is meestal al aanwezig, en indien niet wordt deze onafhankelijk van het PV systeem aangelegd. Na overleg met adviseurs bepalen</t>
  </si>
  <si>
    <t xml:space="preserve">NB: de bliksemafleidingsinstallatie mag niet worden gebruik voor de aarding van de PV constructie. </t>
  </si>
  <si>
    <r>
      <t xml:space="preserve">Uitzettingsverschillen. </t>
    </r>
    <r>
      <rPr>
        <sz val="9"/>
        <color rgb="FF000000"/>
        <rFont val="Calibri"/>
        <family val="2"/>
      </rPr>
      <t>De contactvlakken tussen dak- en draagconstructie van de PV-installatie dienen zo te zijn ontworpen dat het dak niet wordt beschadigd door verschillen in thermische uitzetting tussen de draagconstructie en het dak.</t>
    </r>
  </si>
  <si>
    <t xml:space="preserve">Bijvoorbeeld door een laagje rubber onder metalen pootjes. </t>
  </si>
  <si>
    <t>Ontwerp controleren</t>
  </si>
  <si>
    <r>
      <t xml:space="preserve">Voorkom lekkage en dakschade. </t>
    </r>
    <r>
      <rPr>
        <sz val="9"/>
        <color rgb="FF000000"/>
        <rFont val="Calibri"/>
        <family val="2"/>
      </rPr>
      <t xml:space="preserve">Indien nodig dient de opdrachtnemer het dak tijdens de werkzaamheden te beschermen tegen schade en lekkage. </t>
    </r>
  </si>
  <si>
    <t xml:space="preserve">Indien nodig kan de opdrachtnemer looproutes op het dak dienen beschermen middels een beschermlaag. Opstalplaatsen op het dak kunnen op vergelijkbare wijze te worden beschermd. Het maximaal toelaatbaar gewicht van het dak, met name bij opstalplaatsen, moet niet worden overschreden. </t>
  </si>
  <si>
    <t xml:space="preserve">Als er toch schades of lekkages optreden door toedoen van de PV-installatie of de werkzaamheden zullen de herstelkosten hiervan worden verhaald op de opdrachtnemer. </t>
  </si>
  <si>
    <r>
      <t xml:space="preserve">Waterafvoer. </t>
    </r>
    <r>
      <rPr>
        <sz val="9"/>
        <color rgb="FF000000"/>
        <rFont val="Calibri"/>
        <family val="2"/>
      </rPr>
      <t>Montagemateriaal mag de waterafvoer niet van een dak of gevel niet dusdanig belemmeren dat hierdoor plassen kunnen ontstaan die zonder het montagemateriaal niet zouden ontstaan</t>
    </r>
  </si>
  <si>
    <r>
      <t xml:space="preserve">III) Constructie-eisen in geval van PV op </t>
    </r>
    <r>
      <rPr>
        <b/>
        <sz val="12"/>
        <color rgb="FF7030A0"/>
        <rFont val="Calibri (Hoofdtekst)"/>
      </rPr>
      <t xml:space="preserve">LAND </t>
    </r>
  </si>
  <si>
    <r>
      <t xml:space="preserve">Ontwerp is bestand tegen de te verwachten belasting. </t>
    </r>
    <r>
      <rPr>
        <sz val="9"/>
        <color rgb="FF000000"/>
        <rFont val="Calibri"/>
        <family val="2"/>
      </rPr>
      <t>Het ontwerp van de constructie en het constructiemateriaal dient te voldoen aan de NEN 7250 en Eurocode1 (EN 1991-1-4). Na gunning, maar vóór aanvang installatie</t>
    </r>
  </si>
  <si>
    <r>
      <t>Bescherming fundering.</t>
    </r>
    <r>
      <rPr>
        <sz val="9"/>
        <color rgb="FF000000"/>
        <rFont val="Calibri"/>
        <family val="2"/>
      </rPr>
      <t xml:space="preserve"> Onderdelen (bijvoorbeeld stalen palen) die in de grond komen zijn dusdanig beschermd tegen de corrosie die kan optreden bij de pH waarde van de bodem, dat een levensduur van tenminste 25 jaar kan worden verwacht. </t>
    </r>
  </si>
  <si>
    <t>pH-waarde van de bodem is..</t>
  </si>
  <si>
    <t>Advies om tijdens het vooronderzoek de zuurgraad van de bodem te bepalen. Deze bepaalt welk type coating moet worden toegepast (bijvoorbeeld x micrometer ZnMg)</t>
  </si>
  <si>
    <r>
      <t xml:space="preserve">IV) Constructie-eisen in geval van PV op </t>
    </r>
    <r>
      <rPr>
        <b/>
        <sz val="12"/>
        <color rgb="FF00B0F0"/>
        <rFont val="Calibri (Hoofdtekst)"/>
      </rPr>
      <t>WATER</t>
    </r>
  </si>
  <si>
    <t>NB: Drijvende PV constructies is een relatief jonge ontwikkeling, zelfs op binnenwateren. Normen en testprocedures voor wind- en golfbelasting zijn nog in ontwikkeling! Neem contact op met consortium Zon-op-water: via zonopwater.nl</t>
  </si>
  <si>
    <r>
      <t xml:space="preserve">Ontwerp. </t>
    </r>
    <r>
      <rPr>
        <sz val="9"/>
        <color rgb="FF000000"/>
        <rFont val="Calibri"/>
        <family val="2"/>
      </rPr>
      <t>Het ontwerp van de constructie en het constructiemateriaal dienen bestand te zijn tegen de relevante windbelasting</t>
    </r>
  </si>
  <si>
    <t>nader te bepalen</t>
  </si>
  <si>
    <t xml:space="preserve">Normen nog in ontwikkeling. Nader te bepalen na overleg met technisch adviseur, sterk afhankelijk van de locatie. </t>
  </si>
  <si>
    <r>
      <t xml:space="preserve">Ontwerp. </t>
    </r>
    <r>
      <rPr>
        <sz val="9"/>
        <color rgb="FF000000"/>
        <rFont val="Calibri"/>
        <family val="2"/>
      </rPr>
      <t>Het ontwerp van de constructie, het constructiemateriaal en de verankering dienen bestand te zijn tegen de voorkomende golfbelasting..</t>
    </r>
  </si>
  <si>
    <t>Optioneel</t>
  </si>
  <si>
    <t>Optioneel bij montage op schuine daken</t>
  </si>
  <si>
    <t>Optioneel in geval van afgelegen locaties: om diefstal te bemoeilijken dienen verbindingen niet losmaakbaar te zijn met standaard gereedschap.</t>
  </si>
  <si>
    <t>Eisen - oplevering, inspectie en controle</t>
  </si>
  <si>
    <t>Opleverrapportage</t>
  </si>
  <si>
    <r>
      <t xml:space="preserve">Bij oplevering dient </t>
    </r>
    <r>
      <rPr>
        <b/>
        <u/>
        <sz val="10"/>
        <color rgb="FF000000"/>
        <rFont val="Calibri (Hoofdtekst)"/>
      </rPr>
      <t xml:space="preserve">per locatie </t>
    </r>
    <r>
      <rPr>
        <b/>
        <sz val="10"/>
        <color rgb="FF000000"/>
        <rFont val="Calibri"/>
        <family val="2"/>
      </rPr>
      <t>een opleverdocument te worden aangeleverd in de vorm van een '</t>
    </r>
    <r>
      <rPr>
        <b/>
        <i/>
        <sz val="10"/>
        <color rgb="FF000000"/>
        <rFont val="Calibri"/>
        <family val="2"/>
      </rPr>
      <t xml:space="preserve">as-built' </t>
    </r>
    <r>
      <rPr>
        <b/>
        <sz val="10"/>
        <color rgb="FF000000"/>
        <rFont val="Calibri"/>
        <family val="2"/>
      </rPr>
      <t>dossier. Dit dossier dient de volgende informatie te bevatten:</t>
    </r>
  </si>
  <si>
    <t>Controleer de opleverrapportage tov het eerder aangeleverde ontwerp</t>
  </si>
  <si>
    <t>Afwijkingen herstellen tot ontwerp-waarde, indien opdrachtgever dit noodzakelijk acht</t>
  </si>
  <si>
    <t>▪ NAW gegevens van het pand</t>
  </si>
  <si>
    <t>▪ Handleiding</t>
  </si>
  <si>
    <t>▪ Veiligheidsinstructies</t>
  </si>
  <si>
    <t>▪ Meetstaten</t>
  </si>
  <si>
    <t>▪ Legplan panelen, omvormers en stringen</t>
  </si>
  <si>
    <t>▪ Principeschema’s</t>
  </si>
  <si>
    <r>
      <t xml:space="preserve">▪ </t>
    </r>
    <r>
      <rPr>
        <b/>
        <sz val="10"/>
        <color rgb="FF000000"/>
        <rFont val="Calibri"/>
        <family val="2"/>
      </rPr>
      <t>Draagconstructie</t>
    </r>
    <r>
      <rPr>
        <sz val="10"/>
        <color rgb="FF000000"/>
        <rFont val="Calibri"/>
        <family val="2"/>
      </rPr>
      <t>: technische specificaties, stabiliteitsdeclaratie, garanties en certificaten</t>
    </r>
  </si>
  <si>
    <r>
      <t xml:space="preserve">▪ </t>
    </r>
    <r>
      <rPr>
        <b/>
        <sz val="10"/>
        <color rgb="FF000000"/>
        <rFont val="Calibri"/>
        <family val="2"/>
      </rPr>
      <t>Zonnepanelen</t>
    </r>
    <r>
      <rPr>
        <sz val="10"/>
        <color rgb="FF000000"/>
        <rFont val="Calibri"/>
        <family val="2"/>
      </rPr>
      <t>:</t>
    </r>
  </si>
  <si>
    <t xml:space="preserve">  o Datasheet met technische specificaties</t>
  </si>
  <si>
    <t xml:space="preserve">  o Simplified Carbon Assessment afgegeven door Certisolis volgens PPE2 /CRE4</t>
  </si>
  <si>
    <t xml:space="preserve">  o Product warranty +  performance warranty</t>
  </si>
  <si>
    <t xml:space="preserve">  o  Lijst met serienummers van de panelen + flashdata (IV-curve) per serienummer </t>
  </si>
  <si>
    <t xml:space="preserve">  o  Montage-instructies </t>
  </si>
  <si>
    <r>
      <t xml:space="preserve">  o  Indien kunststof backsheet is gebruikt en indien er </t>
    </r>
    <r>
      <rPr>
        <i/>
        <sz val="10"/>
        <color rgb="FF000000"/>
        <rFont val="Calibri"/>
        <family val="2"/>
      </rPr>
      <t xml:space="preserve">geen </t>
    </r>
    <r>
      <rPr>
        <sz val="10"/>
        <color rgb="FF000000"/>
        <rFont val="Calibri"/>
        <family val="2"/>
      </rPr>
      <t xml:space="preserve">vermelding is op het datasheet van de gebruikte backsheet materialen, is een attest 'PFAS-free' nodig. </t>
    </r>
  </si>
  <si>
    <t xml:space="preserve">Het attest 'PFAS-free' is een door de fabrikant opgesteld en ondertekend document, waarin staat welke materialen zijn gebruikt voor de backsheet en waarin wordt bevestigd dat de backsheet PFAS vrij is. </t>
  </si>
  <si>
    <t>Door technisch adviseur van opdrachtgever</t>
  </si>
  <si>
    <t>▪ Elektrische installatie, DC-zijdig:</t>
  </si>
  <si>
    <t xml:space="preserve">   o Kabelberekeningen</t>
  </si>
  <si>
    <t xml:space="preserve">   o Principeschema van de string en codering of tag</t>
  </si>
  <si>
    <t xml:space="preserve">   o Technische specificaties van de bekabeling, connectoren en lasdozen</t>
  </si>
  <si>
    <t xml:space="preserve">    o Certificaten van de bekabeling en connectoren</t>
  </si>
  <si>
    <t>▪ Elektrische installatie, AC-zijdig:</t>
  </si>
  <si>
    <t xml:space="preserve">   o Principeschema’s</t>
  </si>
  <si>
    <t xml:space="preserve">   o Technische specificaties netontkoppeling beveiliging, relais, vermogensschakelaar, overspanningsbeveiliging, gebruikte automaten, zekeringen en bekabeling</t>
  </si>
  <si>
    <t>▪ Omvormer(s):</t>
  </si>
  <si>
    <t xml:space="preserve">   o Technische specificaties</t>
  </si>
  <si>
    <t xml:space="preserve">   o Certificaten</t>
  </si>
  <si>
    <t xml:space="preserve">   o Garanties</t>
  </si>
  <si>
    <t xml:space="preserve">   o Handleiding</t>
  </si>
  <si>
    <t xml:space="preserve">   o Serienummer met tag vermelding per omvormer</t>
  </si>
  <si>
    <r>
      <t xml:space="preserve">▪ </t>
    </r>
    <r>
      <rPr>
        <b/>
        <sz val="10"/>
        <color rgb="FF000000"/>
        <rFont val="Calibri"/>
        <family val="2"/>
      </rPr>
      <t>Monitoringsgegevens</t>
    </r>
    <r>
      <rPr>
        <sz val="10"/>
        <color rgb="FF000000"/>
        <rFont val="Calibri"/>
        <family val="2"/>
      </rPr>
      <t>; technische specificaties datalogger, login gegevens en handleiding</t>
    </r>
  </si>
  <si>
    <t>▪ Opbrengstgaranties</t>
  </si>
  <si>
    <t>▪ Bewijs van aanmelding bij; netbeheerder en het meetbedrijf</t>
  </si>
  <si>
    <t>▪ EAN code voor teruglevering</t>
  </si>
  <si>
    <t>Optioneel: voor PV installaties groter dan 1 MWp</t>
  </si>
  <si>
    <t>De PAC bevat een overzicht van major en minor non-conformities volgens een technisch adviseur, waarin ook duidelijk wordt welke zaken moeten worden verbeterd voor de Final Acceptance.</t>
  </si>
  <si>
    <t>Scios Scope 12 rapport / technisch adviseur</t>
  </si>
  <si>
    <t>Installateur / EP&amp;C / bouwer dient verbeteringen door te voeren</t>
  </si>
  <si>
    <t xml:space="preserve"> Binnen X maanden</t>
  </si>
  <si>
    <t xml:space="preserve">De FAC is een rapportage die per verbeterpunt van de PAC laat zien of deze volgens de eigenaar/diens technisch adviseur is gerealiseerd. Hiervoor is nodig: alle verbeterpunten uit de PAC zijn doorgevoerd; de werkelijke Performance Ratio van afgelopen 30 dagen is tenminste 98% van PRN (zie gunningscriteria); de opleverrapportage met 'As-Built' documentatie is geupdate. </t>
  </si>
  <si>
    <t>Optioneel: voor PV installaties groter dan 10 MWp</t>
  </si>
  <si>
    <t>1) P_test &gt;99% P_producent. 2) Acceptabele staat.</t>
  </si>
  <si>
    <t>Meestal alleen bij projecten &gt;10 MWp. Sample testing houdt in: 1) het vermogen van sample panelen volgens onafhankelijke IV test moet &gt;99% van vermogen volgens producent zijn. 2) de staat van de samples is acceptabel (visuele inspectie, aantal microcracks volgens EL test, ..)</t>
  </si>
  <si>
    <t xml:space="preserve">Rapport van  IV data &amp; EL beelden van PV modules volgens IS2859, bepaal het aantal samples volgens AQL nivo S2 of S3. </t>
  </si>
  <si>
    <t xml:space="preserve">Moet door technische adviseur goedkeurd worden. </t>
  </si>
  <si>
    <t>Bij substantiele onderprestatie (&gt;1%), extra panelen leveren tot het werkelijke DC vermogen overeenkomst met het DC vermogen van de inschrijving, of een proportionele korting op de totale projectkosten.</t>
  </si>
  <si>
    <t>Beoordeling: 'voldoende'</t>
  </si>
  <si>
    <t xml:space="preserve">Meestal alleen bij PV projecten &gt;10 MWp. Kost ca €3-7k. De fabriek waarin de modules worden geproduceerd word geïnspecteerd voor of tijdens het produceren van de panelen, waarbij oa de kwaliteit van de materialen en het productieproces wordt gecontroleerd. </t>
  </si>
  <si>
    <t xml:space="preserve">Eisen - Onderhoud en Monitoring </t>
  </si>
  <si>
    <t>NB: alleen indien O&amp;M wordt gevraagd in de opdracht/aanbesteding!</t>
  </si>
  <si>
    <t>Onderhoud en reparatie</t>
  </si>
  <si>
    <t>Beschikbaarheid van de installatie</t>
  </si>
  <si>
    <r>
      <t xml:space="preserve">Systemen &lt; 1 MWp: &gt;98%   Systemen &gt; 1MWp: </t>
    </r>
    <r>
      <rPr>
        <b/>
        <sz val="9"/>
        <color rgb="FF0070C0"/>
        <rFont val="Calibri (Hoofdtekst)"/>
      </rPr>
      <t>99%</t>
    </r>
  </si>
  <si>
    <t xml:space="preserve">In overleg met adviseur bepalen. Deze eis wordt niet altijd opgenomen. Beschikbaarheid geeft aan dat een project 98 of 99% van de zonuren in bedrijf is. Eventueel onderhoud moet kort zijn en storingen moeten snel worden opgelost. </t>
  </si>
  <si>
    <t>Via het monitoringsysteem of eventueel via rapportages uit het monitoringysteem</t>
  </si>
  <si>
    <t>Optioneel: bij grote systemen wordt vaak een boete-clause opgenomen</t>
  </si>
  <si>
    <r>
      <t>Gemeten Performance Ratio (PR</t>
    </r>
    <r>
      <rPr>
        <b/>
        <vertAlign val="subscript"/>
        <sz val="9"/>
        <color rgb="FF000000"/>
        <rFont val="Calibri (Hoofdtekst)"/>
      </rPr>
      <t>G</t>
    </r>
    <r>
      <rPr>
        <b/>
        <sz val="9"/>
        <color rgb="FF000000"/>
        <rFont val="Calibri"/>
        <family val="2"/>
      </rPr>
      <t xml:space="preserve">), </t>
    </r>
    <r>
      <rPr>
        <sz val="9"/>
        <color rgb="FF000000"/>
        <rFont val="Calibri"/>
        <family val="2"/>
      </rPr>
      <t>over een periode van 1 jaar, moet groter of gelijk zijn aan 97% van PR</t>
    </r>
    <r>
      <rPr>
        <vertAlign val="subscript"/>
        <sz val="9"/>
        <color rgb="FF000000"/>
        <rFont val="Calibri (Hoofdtekst)"/>
      </rPr>
      <t>N</t>
    </r>
    <r>
      <rPr>
        <b/>
        <sz val="9"/>
        <color rgb="FF000000"/>
        <rFont val="Calibri"/>
        <family val="2"/>
      </rPr>
      <t xml:space="preserve">  </t>
    </r>
    <r>
      <rPr>
        <sz val="9"/>
        <color rgb="FF000000"/>
        <rFont val="Calibri"/>
        <family val="2"/>
      </rPr>
      <t>(de nominale PR volgens het ontwerp, zie tabblad 9. Gunningscriteria)</t>
    </r>
  </si>
  <si>
    <r>
      <t>&gt;97% van PR</t>
    </r>
    <r>
      <rPr>
        <b/>
        <vertAlign val="subscript"/>
        <sz val="9"/>
        <color rgb="FF0070C0"/>
        <rFont val="Calibri (Hoofdtekst)"/>
      </rPr>
      <t>N</t>
    </r>
  </si>
  <si>
    <t xml:space="preserve">In overleg met adviseur bepalen. Deze eis wordt niet altijd opgenomen. De Gemeten Performance Ratio wordt bepaald door de Energieopwek gedurende 1 jaar te delen door het opgestelde PV vermogen (DC Watt-piek) en door de werkelijke instraling per m2 gedurende dat jaar (op basis van bijvoorbeeld een KNMI weerstation in de buurt, of een instralingsmeter op locatie, nader overeen te komen).  Afwijkingen groter dan 3% duiden op problemen in de installatie. </t>
  </si>
  <si>
    <t>Jaarlijks via het monitoringsysteem of een jaarraportage uit het monitoringysteem</t>
  </si>
  <si>
    <t>Optioneel: bij grote systemen wordt vaak een boete-clause opgenomen, bijvoorbeeld €60 per gemiste MWh opwek ten opzichte van de opwek die zou zijn behaald bij PR_G = 97% van PR_N.</t>
  </si>
  <si>
    <t>Inspectie en Onderhoudsplan</t>
  </si>
  <si>
    <t xml:space="preserve">Een document dat beschrijft hoe en met welke frequentie inspecties en onderhoud worden uitgevoerd. </t>
  </si>
  <si>
    <t>In overleg met adviseur bepalen</t>
  </si>
  <si>
    <r>
      <t xml:space="preserve">Correctief onderhoud / Service Level Agreement - A. </t>
    </r>
    <r>
      <rPr>
        <sz val="9"/>
        <color rgb="FF000000"/>
        <rFont val="Calibri"/>
        <family val="2"/>
      </rPr>
      <t>Bij uitval van een transformator, omvormer of monitoring systeem: onderzoek naar oorzaak en voorstel corrigerende actie binnen:</t>
    </r>
  </si>
  <si>
    <t>Bij systemen &gt;1 MWp: 4 uur; Bij systemen &gt;100kW, &lt;1 MWp: 24 uur; Bij systemen &lt;100kW: 72 uur</t>
  </si>
  <si>
    <t xml:space="preserve">Vooraf: inspectie- en onderhoudsplan. Na jaar 1: mogelijke controles door opdrachtgever of werkzaamheden zijn uitgevoerd. </t>
  </si>
  <si>
    <r>
      <t xml:space="preserve">Correctief onderhoud / Service Level Agreement - B. </t>
    </r>
    <r>
      <rPr>
        <sz val="9"/>
        <color rgb="FF000000"/>
        <rFont val="Calibri"/>
        <family val="2"/>
      </rPr>
      <t xml:space="preserve">Bij string failure of failure van meer dan 4 PV modules onderzoek naar oorzaak en voorstel corrigerende actie binnen:  </t>
    </r>
  </si>
  <si>
    <t>Bij systemen &gt;1 MWp: 24 uur; Bij systemen &gt;100kW, &lt;1 MWp: 72 uur; Bij systemen &lt;100kW: 1 week</t>
  </si>
  <si>
    <r>
      <t xml:space="preserve">Correctief onderhoud / Service Level Agreement - C. </t>
    </r>
    <r>
      <rPr>
        <sz val="9"/>
        <color rgb="FF000000"/>
        <rFont val="Calibri"/>
        <family val="2"/>
      </rPr>
      <t xml:space="preserve">Bij failure van 1 PV modules onderzoek naar oorzaak en voorstel corrigerende actie binnen:  </t>
    </r>
  </si>
  <si>
    <t>Bij systemen &gt;1 MWp: 72 uur; Bij systemen &gt;100kW, &lt;1 MWp: 1 week; Bij systemen &lt;100kW: 1 week</t>
  </si>
  <si>
    <r>
      <t>Preventief onderhoud omvormers en eventueel transformator.</t>
    </r>
    <r>
      <rPr>
        <sz val="9"/>
        <color rgb="FF000000"/>
        <rFont val="Calibri"/>
        <family val="2"/>
      </rPr>
      <t xml:space="preserve"> Transformator en omvormers krijgen het door de transformator- en omvormerfabrikant voorgeschreven preventief onderhoud elk </t>
    </r>
  </si>
  <si>
    <t>jaar / half jaar</t>
  </si>
  <si>
    <r>
      <t xml:space="preserve">Preventief onderhoud zonnepanelen, kabels, connectors, onderconstructie. </t>
    </r>
    <r>
      <rPr>
        <sz val="9"/>
        <color rgb="FF000000"/>
        <rFont val="Calibri"/>
        <family val="2"/>
      </rPr>
      <t xml:space="preserve">Door middel van visuele inspectie en eventuele on-site reparatie/correctie, met dezelfde frequentie als het preventieve onderhoud aan de omvormers.  </t>
    </r>
  </si>
  <si>
    <t>Nader te bepalen</t>
  </si>
  <si>
    <r>
      <t xml:space="preserve">Schoonmaken zonnepanelen. </t>
    </r>
    <r>
      <rPr>
        <sz val="9"/>
        <color rgb="FF000000"/>
        <rFont val="Calibri"/>
        <family val="2"/>
      </rPr>
      <t xml:space="preserve">Afhankelijk van visuele inspectie en PR van het systeem, ter beoordeling van O&amp;M verantwoordelijke. </t>
    </r>
  </si>
  <si>
    <t>In overleg met adviseur bepalen. Normaal regent het voldoende in NL waardoor panelen vanzelf schoon worden, schoonmaak kosten wegen vaak niet op tegen extra opbrengst. Echter bij aanhoudende vervuiling kan het zinvol zijn. Door weersomstandigheden, doordat op sommige locaties veel vogels aanwezig zijn, bij een lage hellingshoek van de panelen, of als de onderste cellen deels door mos/algen worden bedekt.</t>
  </si>
  <si>
    <t>Groenonderhoud</t>
  </si>
  <si>
    <t xml:space="preserve">In overleg met adviseur bepalen. Normaal gesproken: Groen mag niet boven de modules uitsteken, mag goede werking panelen niet belemmeren. </t>
  </si>
  <si>
    <t>Warranty Claim Management</t>
  </si>
  <si>
    <t xml:space="preserve">Document met beschrijving wie de leiding neemt als een panel of omvormer kapot gaat en hoe de claim wordt ingediend. </t>
  </si>
  <si>
    <t>Monitoring</t>
  </si>
  <si>
    <r>
      <t xml:space="preserve">Monitoringsysteem. </t>
    </r>
    <r>
      <rPr>
        <sz val="9"/>
        <color rgb="FF000000"/>
        <rFont val="Calibri"/>
        <family val="2"/>
      </rPr>
      <t>De zonnestroominstallatie dient voorzien te zijn van een monitoringsysteem waarmee het systeem op afstand 24/7 kan worden uitgelezen d.m.v. een (draadloze) verbinding.</t>
    </r>
  </si>
  <si>
    <r>
      <t xml:space="preserve">Stringnivo. </t>
    </r>
    <r>
      <rPr>
        <sz val="9"/>
        <color rgb="FF000000"/>
        <rFont val="Calibri"/>
        <family val="2"/>
      </rPr>
      <t xml:space="preserve">De prestatie van de PV panelen (kWh per tijdseenheid) moet meetbaar zijn door het monitoring systeem per string van in serie geschakelde zonnepanelen. </t>
    </r>
  </si>
  <si>
    <r>
      <t xml:space="preserve">Het monitoringsplatform maakt in elk geval onderstaande inzichtelijk: 
</t>
    </r>
    <r>
      <rPr>
        <sz val="9"/>
        <color rgb="FF000000"/>
        <rFont val="Calibri"/>
        <family val="2"/>
      </rPr>
      <t>- Real-time productiewaarden in kWh / omvormer;</t>
    </r>
    <r>
      <rPr>
        <sz val="9"/>
        <color rgb="FF000000"/>
        <rFont val="Calibri"/>
        <family val="2"/>
      </rPr>
      <t xml:space="preserve">
- Totale productie in kWh van alle omvormers; </t>
    </r>
    <r>
      <rPr>
        <sz val="9"/>
        <color rgb="FF000000"/>
        <rFont val="Calibri"/>
        <family val="2"/>
      </rPr>
      <t xml:space="preserve">
- Totale AC output in Watt van alle omvormers;</t>
    </r>
    <r>
      <rPr>
        <sz val="9"/>
        <color rgb="FF000000"/>
        <rFont val="Calibri"/>
        <family val="2"/>
      </rPr>
      <t xml:space="preserve">
- DC spanning in Volt / omvormer;</t>
    </r>
    <r>
      <rPr>
        <sz val="9"/>
        <color rgb="FF000000"/>
        <rFont val="Calibri"/>
        <family val="2"/>
      </rPr>
      <t xml:space="preserve">
- DC stroom in Ampere / omvormer;</t>
    </r>
    <r>
      <rPr>
        <sz val="9"/>
        <color rgb="FF000000"/>
        <rFont val="Calibri"/>
        <family val="2"/>
      </rPr>
      <t xml:space="preserve">
- DC vermogen in Watt / omvormer;</t>
    </r>
    <r>
      <rPr>
        <sz val="9"/>
        <color rgb="FF000000"/>
        <rFont val="Calibri"/>
        <family val="2"/>
      </rPr>
      <t xml:space="preserve">
- AC spanning per fase / omvormer;</t>
    </r>
    <r>
      <rPr>
        <sz val="9"/>
        <color rgb="FF000000"/>
        <rFont val="Calibri"/>
        <family val="2"/>
      </rPr>
      <t xml:space="preserve">
- AC stroom per fase / omvormer;</t>
    </r>
    <r>
      <rPr>
        <sz val="9"/>
        <color rgb="FF000000"/>
        <rFont val="Calibri"/>
        <family val="2"/>
      </rPr>
      <t xml:space="preserve">
- Operation status / omvormer;</t>
    </r>
    <r>
      <rPr>
        <sz val="9"/>
        <color rgb="FF000000"/>
        <rFont val="Calibri"/>
        <family val="2"/>
      </rPr>
      <t xml:space="preserve">
- Omvormerfouten; </t>
    </r>
    <r>
      <rPr>
        <sz val="9"/>
        <color rgb="FF000000"/>
        <rFont val="Calibri"/>
        <family val="2"/>
      </rPr>
      <t xml:space="preserve">
- Communicatiestoringen; </t>
    </r>
    <r>
      <rPr>
        <sz val="9"/>
        <color rgb="FF000000"/>
        <rFont val="Calibri"/>
        <family val="2"/>
      </rPr>
      <t xml:space="preserve">
- Gerealiseerde waarden ten opzichte van verwachte waarden.</t>
    </r>
  </si>
  <si>
    <t>Het monitoringssysteem heeft een beschikbaarheid  ≥99%.</t>
  </si>
  <si>
    <t>Geschiktheidseisen opdrachtnemer (of diens onderaannemer) indien Onderhoud en Monitoring deel uit maakt van de aanbesteding</t>
  </si>
  <si>
    <t>50 MWp</t>
  </si>
  <si>
    <t>gemiddeld &gt;95 GPR en availability &gt; 98% afgelopen 2 jaar</t>
  </si>
  <si>
    <t xml:space="preserve">Eisen - Ecologie en Biodiversiteit </t>
  </si>
  <si>
    <t xml:space="preserve">4) Verberg kolom D. </t>
  </si>
  <si>
    <t>Toelichting</t>
  </si>
  <si>
    <t>I) VELDSYSTEMEN / ZON-OP-LAND</t>
  </si>
  <si>
    <r>
      <t xml:space="preserve">Voldoende zonlicht op bodem; Ground Coverage Ratio (GCR). </t>
    </r>
    <r>
      <rPr>
        <sz val="9"/>
        <color rgb="FF000000"/>
        <rFont val="Calibri"/>
        <family val="2"/>
      </rPr>
      <t>Om voldoende bodemleven mogelijk te maken dient de GCR kleiner te zijn dan 70%</t>
    </r>
  </si>
  <si>
    <t xml:space="preserve">De Ground Coverage Ratio is het oppervlak van de projectie van de zonnepanelen op de bodem, in verhouding tot het oppervlak dat door de rijen met zonnepanelen wordt omsloten. </t>
  </si>
  <si>
    <r>
      <t>Voldoende beregening ondergrond; landscape orientatie van de panelen en afstand tussen 2 panelen &gt; cm.</t>
    </r>
    <r>
      <rPr>
        <sz val="9"/>
        <color rgb="FF000000"/>
        <rFont val="Calibri"/>
        <family val="2"/>
      </rPr>
      <t xml:space="preserve"> Tussen panelen die aangrenzend zijn aan de korte of de lange kant, dient een spleet aanwezig te zijn van minimaal 2 cm, waardoor regenwater grotendeels ongehinderd op de bodem kan vallen. </t>
    </r>
  </si>
  <si>
    <t>De PV installatie moet voldoen aan de 'bodemtoets' van TNO</t>
  </si>
  <si>
    <t xml:space="preserve">Aanbevolen om deze toets op te nemen voor PV installaties groter dan 2 MWp. </t>
  </si>
  <si>
    <t>II) DRIJVENDE PV SYSTEMEN / ZON-OP-WATER</t>
  </si>
  <si>
    <t xml:space="preserve">NB Voor Zon-op-Water gelden diverse project- en locatiespecifieke eisen die eerst ism het Waterschap moeten worden vastgesteld! </t>
  </si>
  <si>
    <t xml:space="preserve">Uitlogende materialen mogen niet worden gebruikt. </t>
  </si>
  <si>
    <t xml:space="preserve">Ivm KaderRichtlijn Water, moeten wateren in goede toestand komen mbt chemische samenstelling en ecologie. Door uitloging van bepaalde stoffen kunnen er problemen ontstaan mbt chemische samenstelling. </t>
  </si>
  <si>
    <t>Bedekkingsgraad van maximaal ..</t>
  </si>
  <si>
    <t>NB: Het Waterschap bepaalt meestal de maximale bedekkingsgraad ism een ecoloog.</t>
  </si>
  <si>
    <t xml:space="preserve">Gunningscriteria </t>
  </si>
  <si>
    <r>
      <rPr>
        <b/>
        <sz val="11"/>
        <color rgb="FF0070C0"/>
        <rFont val="Calibri (Hoofdtekst)"/>
      </rPr>
      <t>Instructie inschrijver</t>
    </r>
    <r>
      <rPr>
        <sz val="11"/>
        <color rgb="FF0070C0"/>
        <rFont val="Calibri (Hoofdtekst)"/>
      </rPr>
      <t xml:space="preserve">: Inschrijver vult in kolom i de gegevens in van het PV-systeem dat hij aanbiedt. </t>
    </r>
    <r>
      <rPr>
        <b/>
        <sz val="11"/>
        <color rgb="FF0070C0"/>
        <rFont val="Calibri"/>
        <family val="2"/>
      </rPr>
      <t>Vul hierbij alleen de Blauwe cellen in kolom I.</t>
    </r>
    <r>
      <rPr>
        <sz val="11"/>
        <color rgb="FF0070C0"/>
        <rFont val="Calibri"/>
        <family val="2"/>
      </rPr>
      <t xml:space="preserve"> </t>
    </r>
    <r>
      <rPr>
        <sz val="11"/>
        <color rgb="FF0070C0"/>
        <rFont val="Calibri (Hoofdtekst)"/>
      </rPr>
      <t xml:space="preserve">Gebruik bij de cellen eventueel het dropdownmenu </t>
    </r>
  </si>
  <si>
    <t>De grijze en gele cellen worden automatisch berekend voor uw aanbieding.</t>
  </si>
  <si>
    <t xml:space="preserve">In kolom H is een fictief voorbeeld ingevuld. U kunt eventueel zelf "spelen" met deze excelfile door ook fictieve voorbeelden in te vullen van fictieve concurrenten in kolommen J,K en L. </t>
  </si>
  <si>
    <t>Informatie van de aanbieding</t>
  </si>
  <si>
    <t>Eenheid</t>
  </si>
  <si>
    <t>Eis</t>
  </si>
  <si>
    <t>Weging (%)</t>
  </si>
  <si>
    <t>Punten</t>
  </si>
  <si>
    <t>Voorbeeld</t>
  </si>
  <si>
    <t>Uw aanbieding</t>
  </si>
  <si>
    <t>Inschrijver A</t>
  </si>
  <si>
    <t>Inschrijver B</t>
  </si>
  <si>
    <t>Inschrijver C</t>
  </si>
  <si>
    <t xml:space="preserve">Verificatie </t>
  </si>
  <si>
    <t>Opmerkingen</t>
  </si>
  <si>
    <t>Naam aanbieder</t>
  </si>
  <si>
    <t>Voorbeeld B.V.</t>
  </si>
  <si>
    <t>Invuldatum</t>
  </si>
  <si>
    <t>1. Kosten per kWh (excl financiering, curtailment, O&amp;M)</t>
  </si>
  <si>
    <t>Inschrijvingsbedrag</t>
  </si>
  <si>
    <t xml:space="preserve">€ </t>
  </si>
  <si>
    <t>Aangeboden vermogen zonnepanelen  (kiloWattpiek)</t>
  </si>
  <si>
    <r>
      <t>kW</t>
    </r>
    <r>
      <rPr>
        <vertAlign val="subscript"/>
        <sz val="11"/>
        <color rgb="FF000000"/>
        <rFont val="Calibri"/>
        <family val="2"/>
      </rPr>
      <t>p</t>
    </r>
  </si>
  <si>
    <t>eis 1.2</t>
  </si>
  <si>
    <t xml:space="preserve">Totale vermogen van alle zonnepanelen van locaties bij elkaar opgeteld; Het (monofacial) piekvermogen @ STC per zonnepaneel, vermenigvuldigd met het aantal zonnepanelen. </t>
  </si>
  <si>
    <t>Aangeboden vermogen omvormers  (kiloWattpiek)</t>
  </si>
  <si>
    <t>eis 1.4</t>
  </si>
  <si>
    <t xml:space="preserve">Totale vermogen van de voor de PV installaties benodigde omvormers bij elkaar opgeteld: het vermogen per omvormer vermenigvuldigd met het aantal omvormers. </t>
  </si>
  <si>
    <r>
      <t>Nominale GHI in de Bilt  (GHI</t>
    </r>
    <r>
      <rPr>
        <vertAlign val="subscript"/>
        <sz val="11"/>
        <color rgb="FF002060"/>
        <rFont val="Calibri (Hoofdtekst)"/>
      </rPr>
      <t>nom</t>
    </r>
    <r>
      <rPr>
        <sz val="11"/>
        <color rgb="FF002060"/>
        <rFont val="Calibri"/>
        <family val="2"/>
      </rPr>
      <t xml:space="preserve"> , uw uitgangspunt)</t>
    </r>
  </si>
  <si>
    <r>
      <t>kWh/m</t>
    </r>
    <r>
      <rPr>
        <vertAlign val="superscript"/>
        <sz val="11"/>
        <color rgb="FF000000"/>
        <rFont val="Calibri"/>
        <family val="2"/>
      </rPr>
      <t>2</t>
    </r>
    <r>
      <rPr>
        <sz val="11"/>
        <color rgb="FF000000"/>
        <rFont val="Calibri"/>
        <family val="2"/>
      </rPr>
      <t>/jaar</t>
    </r>
  </si>
  <si>
    <t>De  nominale waarde, ofwel gemiddelde verwachting, ofwel de P50 waarde; Deze waarde kan verschillen afhankelijk van de gebruikte software (PVSol, PVSyst etc etc), de weerdatabase en de geanalyseerde periode)</t>
  </si>
  <si>
    <r>
      <t>Nominale Energie jaar 1 (E</t>
    </r>
    <r>
      <rPr>
        <vertAlign val="subscript"/>
        <sz val="11"/>
        <color rgb="FF002060"/>
        <rFont val="Calibri (Hoofdtekst)"/>
      </rPr>
      <t>O</t>
    </r>
    <r>
      <rPr>
        <sz val="11"/>
        <color rgb="FF002060"/>
        <rFont val="Calibri (Hoofdtekst)"/>
      </rPr>
      <t>)</t>
    </r>
  </si>
  <si>
    <t>kWh/jaar</t>
  </si>
  <si>
    <t>eis 1.3</t>
  </si>
  <si>
    <t xml:space="preserve">Energy-Out Nominaal: De verwachte totale energie-opbrengst gedurende de eerste 12 maanden, geleverd voor eigen verbruik of ingevoerd in het net, indien de instraling gelijk is aan het langjarig gemiddelde, inclusief eerste jaarsdegradatie. </t>
  </si>
  <si>
    <t xml:space="preserve">AC/DC ratio </t>
  </si>
  <si>
    <t>%</t>
  </si>
  <si>
    <r>
      <t>Specifieke nominale opbrengst jaar 1 (Y</t>
    </r>
    <r>
      <rPr>
        <vertAlign val="subscript"/>
        <sz val="11"/>
        <color rgb="FF404040"/>
        <rFont val="Calibri (Hoofdtekst)"/>
      </rPr>
      <t>f</t>
    </r>
    <r>
      <rPr>
        <sz val="11"/>
        <color rgb="FF404040"/>
        <rFont val="Calibri"/>
        <family val="2"/>
      </rPr>
      <t xml:space="preserve">) </t>
    </r>
  </si>
  <si>
    <t>kWh/kWp</t>
  </si>
  <si>
    <t>Final Yield - gemiddelde opbrengst van de installatie per kWp, in jaar 1 bij nominale instraling.</t>
  </si>
  <si>
    <r>
      <t>Performance Ratio_Nominaal (PR</t>
    </r>
    <r>
      <rPr>
        <vertAlign val="subscript"/>
        <sz val="11"/>
        <color rgb="FF404040"/>
        <rFont val="Calibri (Hoofdtekst)"/>
      </rPr>
      <t>N</t>
    </r>
    <r>
      <rPr>
        <sz val="11"/>
        <color rgb="FF404040"/>
        <rFont val="Calibri"/>
        <family val="2"/>
      </rPr>
      <t>)</t>
    </r>
  </si>
  <si>
    <t>PR is een maat voor de efficientie van het hele PV systeem, met een maximum van 100%.</t>
  </si>
  <si>
    <r>
      <t>Referentie GHI van KNMI station de Bilt (GHI</t>
    </r>
    <r>
      <rPr>
        <vertAlign val="subscript"/>
        <sz val="11"/>
        <color rgb="FF404040"/>
        <rFont val="Calibri"/>
        <family val="2"/>
      </rPr>
      <t xml:space="preserve">ref , </t>
    </r>
    <r>
      <rPr>
        <sz val="11"/>
        <color rgb="FF404040"/>
        <rFont val="Calibri"/>
        <family val="2"/>
      </rPr>
      <t>onze referentie)</t>
    </r>
  </si>
  <si>
    <r>
      <t>kWh/m</t>
    </r>
    <r>
      <rPr>
        <vertAlign val="superscript"/>
        <sz val="11"/>
        <color rgb="FF404040"/>
        <rFont val="Calibri"/>
        <family val="2"/>
      </rPr>
      <t>2</t>
    </r>
    <r>
      <rPr>
        <sz val="11"/>
        <color rgb="FF404040"/>
        <rFont val="Calibri"/>
        <family val="2"/>
      </rPr>
      <t>/jaar</t>
    </r>
  </si>
  <si>
    <t>De nominale GHI in de Bilt volgens opdrachtgever, wordt gebruikt voor normalisatie</t>
  </si>
  <si>
    <r>
      <t>Genormaliseerde nominale Energie jaar 1 (E</t>
    </r>
    <r>
      <rPr>
        <vertAlign val="subscript"/>
        <sz val="11"/>
        <color rgb="FF404040"/>
        <rFont val="Calibri"/>
        <family val="2"/>
      </rPr>
      <t>O,N</t>
    </r>
    <r>
      <rPr>
        <sz val="11"/>
        <color rgb="FF404040"/>
        <rFont val="Calibri"/>
        <family val="2"/>
      </rPr>
      <t>)</t>
    </r>
  </si>
  <si>
    <r>
      <t>Totale energie opbrengst in jaar 1 bij de verwachte GHI</t>
    </r>
    <r>
      <rPr>
        <vertAlign val="subscript"/>
        <sz val="11"/>
        <color rgb="FF000000"/>
        <rFont val="Calibri"/>
        <family val="2"/>
      </rPr>
      <t>ref</t>
    </r>
    <r>
      <rPr>
        <sz val="11"/>
        <color rgb="FF000000"/>
        <rFont val="Calibri"/>
        <family val="2"/>
      </rPr>
      <t>.</t>
    </r>
  </si>
  <si>
    <r>
      <t>Genormaliseerde specifieke nominale opbrengst jaar 1 (Y</t>
    </r>
    <r>
      <rPr>
        <vertAlign val="subscript"/>
        <sz val="11"/>
        <color rgb="FF404040"/>
        <rFont val="Calibri (Hoofdtekst)"/>
      </rPr>
      <t>f,N</t>
    </r>
    <r>
      <rPr>
        <sz val="11"/>
        <color rgb="FF404040"/>
        <rFont val="Calibri"/>
        <family val="2"/>
      </rPr>
      <t>)</t>
    </r>
  </si>
  <si>
    <r>
      <t>kWh/kW</t>
    </r>
    <r>
      <rPr>
        <vertAlign val="subscript"/>
        <sz val="11"/>
        <color rgb="FF404040"/>
        <rFont val="Calibri"/>
        <family val="2"/>
      </rPr>
      <t>p</t>
    </r>
  </si>
  <si>
    <r>
      <t>Specifieke opbrengst (Yield) in jaar 1  bij de verwachte GHI</t>
    </r>
    <r>
      <rPr>
        <vertAlign val="subscript"/>
        <sz val="11"/>
        <color rgb="FF000000"/>
        <rFont val="Calibri"/>
        <family val="2"/>
      </rPr>
      <t>ref</t>
    </r>
    <r>
      <rPr>
        <sz val="11"/>
        <color rgb="FF000000"/>
        <rFont val="Calibri"/>
        <family val="2"/>
      </rPr>
      <t>.</t>
    </r>
  </si>
  <si>
    <t>Efficiëntie van de panelen</t>
  </si>
  <si>
    <t>datasheet van beoogde PV paneel</t>
  </si>
  <si>
    <t>Zoals vermeld op het specificatieblad van de fabrikant. Geef uw antwoord met één decimaal achter de komma.</t>
  </si>
  <si>
    <t>Eerstejaarsdegradatie van de panelen</t>
  </si>
  <si>
    <t>Degradatie van de panelen na eerste jaar</t>
  </si>
  <si>
    <t>%/jaar</t>
  </si>
  <si>
    <t>Zoals vermeld op het specificatieblad van de fabrikant. Geef uw antwoord met twee decimalen achter de komma.</t>
  </si>
  <si>
    <r>
      <t>Verwachte genormaliseerde nominale opbrengst in jaar 20 (E</t>
    </r>
    <r>
      <rPr>
        <vertAlign val="subscript"/>
        <sz val="11"/>
        <color rgb="FF404040"/>
        <rFont val="Calibri (Hoofdtekst)"/>
      </rPr>
      <t>O,N,20</t>
    </r>
    <r>
      <rPr>
        <sz val="11"/>
        <color rgb="FF404040"/>
        <rFont val="Calibri"/>
        <family val="2"/>
      </rPr>
      <t>)</t>
    </r>
  </si>
  <si>
    <t>Energieopbrengst in jaar 20 inclusief lineaire degradatie</t>
  </si>
  <si>
    <t>Totale opbrengst over 20 jaar (aanname: geen curtailment/afschakelen)</t>
  </si>
  <si>
    <t xml:space="preserve">kWh </t>
  </si>
  <si>
    <t>Investering per Wp-dc</t>
  </si>
  <si>
    <t>€ / Wp</t>
  </si>
  <si>
    <r>
      <t>s-LCOE: kosten per kWh gedurende 20 jaar</t>
    </r>
    <r>
      <rPr>
        <sz val="11"/>
        <color rgb="FFFFFFFF"/>
        <rFont val="Calibri"/>
        <family val="2"/>
      </rPr>
      <t xml:space="preserve"> (excl financiering, curtailment, O&amp;M,..)</t>
    </r>
  </si>
  <si>
    <t>€ct / kWh</t>
  </si>
  <si>
    <t>Laagste s-LCOE krijgt de hoogste score. Nul punten indien duurder dan cel M34. Daartussen wordt score bepaald door formule: Punten*(1-(sLCOE_Inschrijving - sLCOE_minimum)/(M34-sLCOE_Minimum))</t>
  </si>
  <si>
    <t>Score s-LCOE</t>
  </si>
  <si>
    <t>2. Carbon footprint (CFP) van de toegepaste zonnepanelen</t>
  </si>
  <si>
    <t>CFP van de voorgestelde zonnepanelen volgens de Simplified Carbon Assessment (ECs systeem)</t>
  </si>
  <si>
    <r>
      <t>CO</t>
    </r>
    <r>
      <rPr>
        <vertAlign val="subscript"/>
        <sz val="11"/>
        <color rgb="FF000000"/>
        <rFont val="Calibri (Hoofdtekst)"/>
      </rPr>
      <t>2</t>
    </r>
    <r>
      <rPr>
        <sz val="11"/>
        <color rgb="FF000000"/>
        <rFont val="Calibri"/>
        <family val="2"/>
      </rPr>
      <t>-eq / kWp</t>
    </r>
  </si>
  <si>
    <t>eis 3.5</t>
  </si>
  <si>
    <t>ECs certificaat van beoogd PV paneel</t>
  </si>
  <si>
    <t>Berekening Score</t>
  </si>
  <si>
    <r>
      <t xml:space="preserve">        o  Indien groter dan 550 kg CO</t>
    </r>
    <r>
      <rPr>
        <vertAlign val="subscript"/>
        <sz val="11"/>
        <color rgb="FF000000"/>
        <rFont val="Calibri (Hoofdtekst)"/>
      </rPr>
      <t>2</t>
    </r>
    <r>
      <rPr>
        <sz val="11"/>
        <color rgb="FF000000"/>
        <rFont val="Calibri"/>
        <family val="2"/>
      </rPr>
      <t>-eq / kWp geen geldige inschrijving</t>
    </r>
  </si>
  <si>
    <t>zie ook Eis 3.5</t>
  </si>
  <si>
    <t xml:space="preserve">        o  Maximaal aantal punten voor inschrijver met laagste score (minste CO2eq/kWp)</t>
  </si>
  <si>
    <t xml:space="preserve">        o  Voor tussenliggende waarden volgens formule punten*(550-CFP_inschrijving/550-CFP_min)</t>
  </si>
  <si>
    <t>Score CFP</t>
  </si>
  <si>
    <t xml:space="preserve">3. Technische levensduur </t>
  </si>
  <si>
    <t>Glas-glas zonnepaneel?</t>
  </si>
  <si>
    <t>Ja</t>
  </si>
  <si>
    <t>Onbekend</t>
  </si>
  <si>
    <t>Nee</t>
  </si>
  <si>
    <t>Productgarantie (workmanship guarantee) van 30 jaar of langer?</t>
  </si>
  <si>
    <t>Certificaat rigorous Accelerated Stress Testing; volgens PVEL PQP of IEC 63209 of 3* EN61215?</t>
  </si>
  <si>
    <t>Score Levensduur</t>
  </si>
  <si>
    <t>4. Vermijdbare Giftige stoffen</t>
  </si>
  <si>
    <t>Halogeen-vrije kunststoffen gebruikt in de kabels?</t>
  </si>
  <si>
    <t>datasheet of separaat attest 'halogeenvrij' van de producent</t>
  </si>
  <si>
    <t xml:space="preserve"> 'Ja' betekent dat er geen halogeen in de kabels aanwezig is en er dus aan de voorwaarde wordt voldaan.</t>
  </si>
  <si>
    <t>&lt; 1% gewichtspercentage lood in de soldeertin aanwezig?</t>
  </si>
  <si>
    <t xml:space="preserve"> 'Ja' betekent dat er minder dan 0,1% lood in cel-interconnecties aanwezig is en er dus aan de voorwaarde wordt voldaan.</t>
  </si>
  <si>
    <t>&lt; 0,05% gewichtspercentage antimoon in het glas aanwezig?</t>
  </si>
  <si>
    <t xml:space="preserve"> 'Ja' betekent dat er minder dan 50 ppm antimoon in het glas aanwezig is en er dus aan de voorwaarde wordt voldaan.</t>
  </si>
  <si>
    <t>Score Vermijdbare giftige stoffen</t>
  </si>
  <si>
    <t>5. Optionele criteria vanuit uw organisatie</t>
  </si>
  <si>
    <t>U kunt hier eventueel onderwerpen toevoegen zoals geproduceerd in Nederland, een kwaliteitsaspecten, de toepassing van gerecycle materialen</t>
  </si>
  <si>
    <t>of rondom arbeidsvoorwaarden bij de productie (lastig objectief vast te stellen), of ecologische/biodiversiteitsaspecten</t>
  </si>
  <si>
    <t xml:space="preserve">Score Optionele criteria vanuit uw organisatie </t>
  </si>
  <si>
    <t>6. Optionele criteria vanuit uw organisatie -2</t>
  </si>
  <si>
    <t>Score Optionele criteria vanuit uw organisatie 2</t>
  </si>
  <si>
    <t>TOTAALSCORE</t>
  </si>
  <si>
    <t>Weging</t>
  </si>
  <si>
    <r>
      <t>Maximale score van 67 punten voor de hoogste energieopbrengst van rij 19  (E</t>
    </r>
    <r>
      <rPr>
        <vertAlign val="subscript"/>
        <sz val="11"/>
        <color rgb="FF000000"/>
        <rFont val="Calibri"/>
        <family val="2"/>
      </rPr>
      <t>GG</t>
    </r>
    <r>
      <rPr>
        <sz val="11"/>
        <color rgb="FF000000"/>
        <rFont val="Calibri"/>
        <family val="2"/>
      </rPr>
      <t>), 1 punt minder voor elke 10.000 kWh/jaar minder. Negatieve scores worden 0.</t>
    </r>
  </si>
  <si>
    <t>Voor elke keer "ja" bij E26 t/m E 31 worden 3 punten toegekend. Maximaal dus 18 punten in totaal.</t>
  </si>
  <si>
    <t xml:space="preserve">Uitgesloten onder 20%, 0 punten bij 20%, maximale punten (5) bij 22% en tussen  20% en 22% een lineair verband. </t>
  </si>
  <si>
    <t>Uitgesloten boven 2,5%, 0 punten bij 2,5%, maximale punten (5) bij 0,5%, en tussen 0,5% en 2,5% lineair verband.</t>
  </si>
  <si>
    <t>Uitgesloten boven 0,7%, 0 punten bij 0,7%, maximale punten (5) bij 0,2%, en tussen 0,2% en 0,7% lineair verband.</t>
  </si>
  <si>
    <t>Totaal score in punten per inschrijver</t>
  </si>
  <si>
    <t>De maximum totaal score is 100 punten.</t>
  </si>
  <si>
    <t>Lijsten</t>
  </si>
  <si>
    <t>Ja, nee, onbekend</t>
  </si>
  <si>
    <t>1 of 0</t>
  </si>
  <si>
    <t>Geen halogeen in kabels aanwezig?</t>
  </si>
  <si>
    <t>&lt; 0,1% lood in cel-interconnecties aanwezig?</t>
  </si>
  <si>
    <t>&lt; 50 ppm antimoon in glas aanwezig?</t>
  </si>
  <si>
    <t>Documenten die u dient in te sturen voor een geldige inschrijving</t>
  </si>
  <si>
    <t>nr</t>
  </si>
  <si>
    <t>Onderwerp</t>
  </si>
  <si>
    <t>Beschrijving</t>
  </si>
  <si>
    <t>Project</t>
  </si>
  <si>
    <t>Tabblad gunningscriteria</t>
  </si>
  <si>
    <t>Ingevuld tabblad met de gegevens van uw voorstel</t>
  </si>
  <si>
    <t>Simulatierapport(en) per locatie</t>
  </si>
  <si>
    <t>Waarin uw ontwerp/voorstel is verwerkt, via erkende simulatiesoftware zoals PVSyst en PVSol</t>
  </si>
  <si>
    <t>Zonnepanelen</t>
  </si>
  <si>
    <t>Datasheet zonnepanelen</t>
  </si>
  <si>
    <t>Produktgarantie zonnepanelen</t>
  </si>
  <si>
    <t>Product warrantee of workmanship warrantee</t>
  </si>
  <si>
    <t>Certificaat Carbon Footprint zonnepaneel</t>
  </si>
  <si>
    <r>
      <t xml:space="preserve">Geldig certificaat volgens de </t>
    </r>
    <r>
      <rPr>
        <i/>
        <sz val="11"/>
        <color rgb="FF000000"/>
        <rFont val="Calibri"/>
        <family val="2"/>
      </rPr>
      <t xml:space="preserve">Evaluation Carbone simplifiée, </t>
    </r>
    <r>
      <rPr>
        <sz val="11"/>
        <color rgb="FF000000"/>
        <rFont val="Calibri"/>
        <family val="2"/>
      </rPr>
      <t>volgens PPE2/CRE4</t>
    </r>
  </si>
  <si>
    <r>
      <t xml:space="preserve">Indien geen glas-glas paneel en geen expliciete uitsluiting van PFAS op de datasheet: attest </t>
    </r>
    <r>
      <rPr>
        <i/>
        <sz val="11"/>
        <color rgb="FF000000"/>
        <rFont val="Calibri"/>
        <family val="2"/>
      </rPr>
      <t>PFAS-free</t>
    </r>
  </si>
  <si>
    <t xml:space="preserve">Document van de paneelfabrikant waarin deze bevestigt dat een PFAS-vrije backsheet is toegepast. </t>
  </si>
  <si>
    <t>Omvormer</t>
  </si>
  <si>
    <t>Datasheet omvormer</t>
  </si>
  <si>
    <t>Uw organisatie</t>
  </si>
  <si>
    <t>3 referenties eerdere PV projecten</t>
  </si>
  <si>
    <t xml:space="preserve">Scope 12 rapport of Referentie van de opdrachtgever, van 3 projecten met Wattpiek vermogen tenminste 30% van dit project afgelopen 3 jaar </t>
  </si>
  <si>
    <t>Uniform Europees Aanbestedingsdocument</t>
  </si>
  <si>
    <t xml:space="preserve">Formeel document dat bij elke Europese aanbesteding wordt gebruikt. Hierin geven inschrijvers onder meer aan of uitsluitingsgronden op hun bedrijf van toepassing zijn, met welke partijen wordt ingeschreven, welke constructie hierbij wordt gekozen als inderdaad met meerdere partijen wordt ingeschreven (onderaanneming of combinatie) en welke persoon of personen als gemachtigde(n) van de inschrijvende partij(en) zullen optreden. </t>
  </si>
  <si>
    <t>Optioneel: eventuele certificaten</t>
  </si>
  <si>
    <t>Voorbeelden: InstallQ, VCA.</t>
  </si>
  <si>
    <t>Ingevulde inschrijvingsstaat</t>
  </si>
  <si>
    <t xml:space="preserve">Inschrijvende partijen dienen de aan te geven producten /diensten te voorzien van een prijs en rechtsgeldig te ondertekenen.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</si>
</sst>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quot; &quot;[$€]&quot; &quot;#,##0.00&quot; &quot;;&quot; &quot;[$€]&quot; &quot;&quot;(&quot;#,##0.00&quot;)&quot;;&quot; &quot;[$€]&quot; &quot;&quot;-&quot;#&quot; &quot;;&quot; &quot;@&quot; &quot;"/>
    <numFmt numFmtId="165" formatCode="&quot;/ &quot;0"/>
    <numFmt numFmtId="166" formatCode="d\-m\-yyyy"/>
    <numFmt numFmtId="167" formatCode="&quot; &quot;[$€]&quot; &quot;#,##0&quot; &quot;;&quot; &quot;[$€]&quot; &quot;&quot;(&quot;#,##0&quot;)&quot;;&quot; &quot;[$€]&quot; &quot;&quot;-&quot;#&quot; &quot;;&quot; &quot;@&quot; &quot;"/>
    <numFmt numFmtId="168" formatCode="0.0%"/>
    <numFmt numFmtId="169" formatCode="&quot; &quot;#,##0&quot; &quot;;&quot; &quot;&quot;-&quot;#,##0&quot; &quot;;&quot; &quot;&quot;-&quot;#&quot; &quot;;&quot; &quot;@&quot; &quot;"/>
    <numFmt numFmtId="170" formatCode="&quot; &quot;#,##0&quot; &quot;;&quot; &quot;&quot;(&quot;#,##0&quot;)&quot;;&quot; &quot;&quot;-&quot;#&quot; &quot;;&quot; &quot;@&quot; &quot;"/>
    <numFmt numFmtId="171" formatCode="&quot; Eurocent &quot;#,##0.0&quot; &quot;;&quot; Eurocent &quot;&quot;(&quot;#,##0.0&quot;)&quot;;&quot; Eurocent &quot;&quot;-&quot;#&quot; &quot;;&quot; &quot;@&quot; &quot;"/>
    <numFmt numFmtId="172" formatCode="&quot; &quot;[$€]&quot; &quot;#,##0.0&quot; &quot;;&quot; &quot;[$€]&quot; &quot;&quot;(&quot;#,##0.0&quot;)&quot;;&quot; &quot;[$€]&quot; &quot;&quot;-&quot;#&quot; &quot;;&quot; &quot;@&quot; &quot;"/>
    <numFmt numFmtId="173" formatCode="&quot; &quot;#,##0.00&quot; &quot;;&quot; &quot;&quot;(&quot;#,##0.00&quot;)&quot;;&quot; &quot;&quot;-&quot;#&quot; &quot;;&quot; &quot;@&quot; &quot;"/>
    <numFmt numFmtId="174" formatCode="&quot; &quot;#,##0.00&quot; &quot;;&quot; &quot;&quot;-&quot;#,##0.00&quot; &quot;;&quot; &quot;&quot;-&quot;#&quot; &quot;;&quot; &quot;@&quot; &quot;"/>
  </numFmts>
  <fonts count="85" x14ac:knownFonts="1">
    <font>
      <sz val="11"/>
      <color rgb="FF000000"/>
      <name val="Calibri"/>
      <family val="2"/>
    </font>
    <font>
      <sz val="11"/>
      <color rgb="FF000000"/>
      <name val="Calibri"/>
      <family val="2"/>
    </font>
    <font>
      <b/>
      <sz val="15"/>
      <color rgb="FF44546A"/>
      <name val="Calibri"/>
      <family val="2"/>
    </font>
    <font>
      <b/>
      <sz val="11"/>
      <color rgb="FF44546A"/>
      <name val="Calibri"/>
      <family val="2"/>
    </font>
    <font>
      <sz val="11"/>
      <color rgb="FF3F3F3F"/>
      <name val="Calibri"/>
      <family val="2"/>
    </font>
    <font>
      <sz val="10"/>
      <color rgb="FF000000"/>
      <name val="Calibri"/>
      <family val="2"/>
    </font>
    <font>
      <b/>
      <sz val="12"/>
      <color rgb="FF000000"/>
      <name val="Calibri"/>
      <family val="2"/>
    </font>
    <font>
      <b/>
      <sz val="8"/>
      <color rgb="FF808080"/>
      <name val="Calibri"/>
      <family val="2"/>
    </font>
    <font>
      <sz val="9"/>
      <color rgb="FF000000"/>
      <name val="Calibri"/>
      <family val="2"/>
    </font>
    <font>
      <i/>
      <sz val="9"/>
      <color rgb="FF000000"/>
      <name val="Calibri"/>
      <family val="2"/>
    </font>
    <font>
      <sz val="8"/>
      <color rgb="FF000000"/>
      <name val="Calibri"/>
      <family val="2"/>
    </font>
    <font>
      <sz val="8"/>
      <color rgb="FF808080"/>
      <name val="Calibri"/>
      <family val="2"/>
    </font>
    <font>
      <b/>
      <sz val="8"/>
      <color rgb="FF000000"/>
      <name val="Calibri"/>
      <family val="2"/>
    </font>
    <font>
      <sz val="7"/>
      <color rgb="FF808080"/>
      <name val="Calibri"/>
      <family val="2"/>
    </font>
    <font>
      <b/>
      <sz val="11"/>
      <color rgb="FFFFFFFF"/>
      <name val="Calibri"/>
      <family val="2"/>
    </font>
    <font>
      <b/>
      <sz val="11"/>
      <color rgb="FF000000"/>
      <name val="Calibri"/>
      <family val="2"/>
    </font>
    <font>
      <b/>
      <sz val="9"/>
      <color rgb="FF000000"/>
      <name val="Calibri"/>
      <family val="2"/>
    </font>
    <font>
      <b/>
      <sz val="9"/>
      <color rgb="FF0070C0"/>
      <name val="Calibri"/>
      <family val="2"/>
    </font>
    <font>
      <b/>
      <sz val="11"/>
      <color rgb="FFD9D9D9"/>
      <name val="Calibri"/>
      <family val="2"/>
    </font>
    <font>
      <b/>
      <sz val="18"/>
      <color rgb="FF00205B"/>
      <name val="Helvetica Neue"/>
      <family val="2"/>
    </font>
    <font>
      <sz val="9"/>
      <color rgb="FF000000"/>
      <name val="Calibri (Hoofdtekst)"/>
    </font>
    <font>
      <sz val="9"/>
      <color rgb="FFFF0000"/>
      <name val="Calibri"/>
      <family val="2"/>
    </font>
    <font>
      <sz val="9"/>
      <color rgb="FF0070C0"/>
      <name val="Calibri"/>
      <family val="2"/>
    </font>
    <font>
      <sz val="8"/>
      <color rgb="FF000000"/>
      <name val="Calibri (Hoofdtekst)"/>
    </font>
    <font>
      <b/>
      <i/>
      <sz val="9"/>
      <color rgb="FF000000"/>
      <name val="Calibri"/>
      <family val="2"/>
    </font>
    <font>
      <b/>
      <sz val="10"/>
      <color rgb="FF000000"/>
      <name val="Calibri"/>
      <family val="2"/>
    </font>
    <font>
      <b/>
      <sz val="9"/>
      <color rgb="FF808080"/>
      <name val="Calibri"/>
      <family val="2"/>
    </font>
    <font>
      <sz val="11"/>
      <color rgb="FFFFFFFF"/>
      <name val="Calibri"/>
      <family val="2"/>
    </font>
    <font>
      <b/>
      <sz val="9"/>
      <color rgb="FF002060"/>
      <name val="Calibri"/>
      <family val="2"/>
    </font>
    <font>
      <sz val="9"/>
      <color rgb="FF4472C4"/>
      <name val="Calibri"/>
      <family val="2"/>
    </font>
    <font>
      <b/>
      <sz val="11"/>
      <color rgb="FF4472C4"/>
      <name val="Calibri"/>
      <family val="2"/>
    </font>
    <font>
      <b/>
      <sz val="9"/>
      <color rgb="FFFF0000"/>
      <name val="Calibri"/>
      <family val="2"/>
    </font>
    <font>
      <b/>
      <sz val="12"/>
      <color rgb="FFFF0000"/>
      <name val="Calibri"/>
      <family val="2"/>
    </font>
    <font>
      <b/>
      <sz val="8"/>
      <color rgb="FFFF0000"/>
      <name val="Calibri"/>
      <family val="2"/>
    </font>
    <font>
      <b/>
      <sz val="12"/>
      <color rgb="FF7030A0"/>
      <name val="Calibri"/>
      <family val="2"/>
    </font>
    <font>
      <b/>
      <sz val="12"/>
      <color rgb="FF7030A0"/>
      <name val="Calibri (Hoofdtekst)"/>
    </font>
    <font>
      <b/>
      <sz val="12"/>
      <color rgb="FF00B0F0"/>
      <name val="Calibri"/>
      <family val="2"/>
    </font>
    <font>
      <b/>
      <sz val="12"/>
      <color rgb="FF00B0F0"/>
      <name val="Calibri (Hoofdtekst)"/>
    </font>
    <font>
      <sz val="11"/>
      <color rgb="FFBFBFBF"/>
      <name val="Calibri"/>
      <family val="2"/>
    </font>
    <font>
      <b/>
      <sz val="11"/>
      <color rgb="FFBFBFBF"/>
      <name val="Calibri"/>
      <family val="2"/>
    </font>
    <font>
      <b/>
      <sz val="9"/>
      <color rgb="FFBFBFBF"/>
      <name val="Calibri"/>
      <family val="2"/>
    </font>
    <font>
      <b/>
      <u/>
      <sz val="10"/>
      <color rgb="FF000000"/>
      <name val="Calibri (Hoofdtekst)"/>
    </font>
    <font>
      <b/>
      <i/>
      <sz val="10"/>
      <color rgb="FF000000"/>
      <name val="Calibri"/>
      <family val="2"/>
    </font>
    <font>
      <i/>
      <sz val="10"/>
      <color rgb="FF000000"/>
      <name val="Calibri"/>
      <family val="2"/>
    </font>
    <font>
      <b/>
      <sz val="11"/>
      <color rgb="FF0070C0"/>
      <name val="Calibri"/>
      <family val="2"/>
    </font>
    <font>
      <b/>
      <sz val="10"/>
      <color rgb="FF0070C0"/>
      <name val="Calibri"/>
      <family val="2"/>
    </font>
    <font>
      <b/>
      <sz val="11"/>
      <color rgb="FFFF0000"/>
      <name val="Calibri"/>
      <family val="2"/>
    </font>
    <font>
      <b/>
      <sz val="9"/>
      <color rgb="FF0070C0"/>
      <name val="Calibri (Hoofdtekst)"/>
    </font>
    <font>
      <b/>
      <vertAlign val="subscript"/>
      <sz val="9"/>
      <color rgb="FF000000"/>
      <name val="Calibri (Hoofdtekst)"/>
    </font>
    <font>
      <vertAlign val="subscript"/>
      <sz val="9"/>
      <color rgb="FF000000"/>
      <name val="Calibri (Hoofdtekst)"/>
    </font>
    <font>
      <b/>
      <vertAlign val="subscript"/>
      <sz val="9"/>
      <color rgb="FF0070C0"/>
      <name val="Calibri (Hoofdtekst)"/>
    </font>
    <font>
      <sz val="9"/>
      <color rgb="FF00B050"/>
      <name val="Calibri"/>
      <family val="2"/>
    </font>
    <font>
      <b/>
      <sz val="16"/>
      <color rgb="FF000000"/>
      <name val="Calibri"/>
      <family val="2"/>
    </font>
    <font>
      <b/>
      <sz val="9"/>
      <color rgb="FF44546A"/>
      <name val="Calibri"/>
      <family val="2"/>
    </font>
    <font>
      <sz val="11"/>
      <color rgb="FF0070C0"/>
      <name val="Calibri"/>
      <family val="2"/>
    </font>
    <font>
      <b/>
      <sz val="11"/>
      <color rgb="FF0070C0"/>
      <name val="Calibri (Hoofdtekst)"/>
    </font>
    <font>
      <sz val="11"/>
      <color rgb="FF0070C0"/>
      <name val="Calibri (Hoofdtekst)"/>
    </font>
    <font>
      <sz val="11"/>
      <color rgb="FFFF0000"/>
      <name val="Calibri"/>
      <family val="2"/>
    </font>
    <font>
      <sz val="11"/>
      <color rgb="FF833C0C"/>
      <name val="Calibri"/>
      <family val="2"/>
    </font>
    <font>
      <b/>
      <sz val="12"/>
      <color rgb="FF44546A"/>
      <name val="Calibri"/>
      <family val="2"/>
    </font>
    <font>
      <b/>
      <sz val="14"/>
      <color rgb="FF44546A"/>
      <name val="Calibri"/>
      <family val="2"/>
    </font>
    <font>
      <b/>
      <sz val="11"/>
      <color rgb="FF002060"/>
      <name val="Calibri"/>
      <family val="2"/>
    </font>
    <font>
      <sz val="11"/>
      <color rgb="FF002060"/>
      <name val="Calibri"/>
      <family val="2"/>
    </font>
    <font>
      <vertAlign val="subscript"/>
      <sz val="11"/>
      <color rgb="FF000000"/>
      <name val="Calibri"/>
      <family val="2"/>
    </font>
    <font>
      <sz val="11"/>
      <color rgb="FFFF714F"/>
      <name val="Calibri"/>
      <family val="2"/>
    </font>
    <font>
      <vertAlign val="subscript"/>
      <sz val="11"/>
      <color rgb="FF002060"/>
      <name val="Calibri (Hoofdtekst)"/>
    </font>
    <font>
      <vertAlign val="superscript"/>
      <sz val="11"/>
      <color rgb="FF000000"/>
      <name val="Calibri"/>
      <family val="2"/>
    </font>
    <font>
      <sz val="11"/>
      <color rgb="FF002060"/>
      <name val="Calibri (Hoofdtekst)"/>
    </font>
    <font>
      <sz val="11"/>
      <color rgb="FF404040"/>
      <name val="Calibri"/>
      <family val="2"/>
    </font>
    <font>
      <sz val="11"/>
      <color rgb="FF808080"/>
      <name val="Calibri"/>
      <family val="2"/>
    </font>
    <font>
      <vertAlign val="subscript"/>
      <sz val="11"/>
      <color rgb="FF404040"/>
      <name val="Calibri (Hoofdtekst)"/>
    </font>
    <font>
      <vertAlign val="subscript"/>
      <sz val="11"/>
      <color rgb="FF404040"/>
      <name val="Calibri"/>
      <family val="2"/>
    </font>
    <font>
      <vertAlign val="superscript"/>
      <sz val="11"/>
      <color rgb="FF404040"/>
      <name val="Calibri"/>
      <family val="2"/>
    </font>
    <font>
      <b/>
      <sz val="11"/>
      <color rgb="FF404040"/>
      <name val="Calibri"/>
      <family val="2"/>
    </font>
    <font>
      <b/>
      <sz val="11"/>
      <color rgb="FFED7D31"/>
      <name val="Calibri"/>
      <family val="2"/>
    </font>
    <font>
      <b/>
      <sz val="11"/>
      <color rgb="FFC65911"/>
      <name val="Calibri"/>
      <family val="2"/>
    </font>
    <font>
      <vertAlign val="subscript"/>
      <sz val="11"/>
      <color rgb="FF000000"/>
      <name val="Calibri (Hoofdtekst)"/>
    </font>
    <font>
      <b/>
      <sz val="11"/>
      <color rgb="FF3F3F3F"/>
      <name val="Calibri"/>
      <family val="2"/>
    </font>
    <font>
      <b/>
      <sz val="11"/>
      <color rgb="FF262626"/>
      <name val="Calibri"/>
      <family val="2"/>
    </font>
    <font>
      <sz val="11"/>
      <color rgb="FF5D4600"/>
      <name val="Calibri"/>
      <family val="2"/>
    </font>
    <font>
      <sz val="11"/>
      <color rgb="FFF2F2F2"/>
      <name val="Calibri"/>
      <family val="2"/>
    </font>
    <font>
      <b/>
      <sz val="11"/>
      <color rgb="FF808080"/>
      <name val="Calibri"/>
      <family val="2"/>
    </font>
    <font>
      <b/>
      <sz val="14"/>
      <color rgb="FF000000"/>
      <name val="Calibri"/>
      <family val="2"/>
    </font>
    <font>
      <b/>
      <sz val="12"/>
      <color rgb="FFFFFFFF"/>
      <name val="Calibri"/>
      <family val="2"/>
    </font>
    <font>
      <i/>
      <sz val="11"/>
      <color rgb="FF000000"/>
      <name val="Calibri"/>
      <family val="2"/>
    </font>
  </fonts>
  <fills count="17">
    <fill>
      <patternFill patternType="none"/>
    </fill>
    <fill>
      <patternFill patternType="gray125"/>
    </fill>
    <fill>
      <patternFill patternType="solid">
        <fgColor rgb="FFDDEBF7"/>
        <bgColor rgb="FFDDEBF7"/>
      </patternFill>
    </fill>
    <fill>
      <patternFill patternType="solid">
        <fgColor rgb="FFE2EFDA"/>
        <bgColor rgb="FFE2EFDA"/>
      </patternFill>
    </fill>
    <fill>
      <patternFill patternType="solid">
        <fgColor rgb="FFF2F2F2"/>
        <bgColor rgb="FFF2F2F2"/>
      </patternFill>
    </fill>
    <fill>
      <patternFill patternType="solid">
        <fgColor rgb="FFFFFFFF"/>
        <bgColor rgb="FFFFFFFF"/>
      </patternFill>
    </fill>
    <fill>
      <patternFill patternType="solid">
        <fgColor rgb="FF4472C4"/>
        <bgColor rgb="FF4472C4"/>
      </patternFill>
    </fill>
    <fill>
      <patternFill patternType="solid">
        <fgColor rgb="FFFCE4D6"/>
        <bgColor rgb="FFFCE4D6"/>
      </patternFill>
    </fill>
    <fill>
      <patternFill patternType="solid">
        <fgColor rgb="FFA6A6A6"/>
        <bgColor rgb="FFA6A6A6"/>
      </patternFill>
    </fill>
    <fill>
      <patternFill patternType="solid">
        <fgColor rgb="FFD9E1F2"/>
        <bgColor rgb="FFD9E1F2"/>
      </patternFill>
    </fill>
    <fill>
      <patternFill patternType="solid">
        <fgColor rgb="FFD9D9D9"/>
        <bgColor rgb="FFD9D9D9"/>
      </patternFill>
    </fill>
    <fill>
      <patternFill patternType="solid">
        <fgColor rgb="FFFFF2CC"/>
        <bgColor rgb="FFFFF2CC"/>
      </patternFill>
    </fill>
    <fill>
      <patternFill patternType="solid">
        <fgColor rgb="FFEDEDED"/>
        <bgColor rgb="FFEDEDED"/>
      </patternFill>
    </fill>
    <fill>
      <patternFill patternType="solid">
        <fgColor rgb="FF0070C0"/>
        <bgColor rgb="FF0070C0"/>
      </patternFill>
    </fill>
    <fill>
      <patternFill patternType="solid">
        <fgColor rgb="FF808080"/>
        <bgColor rgb="FF808080"/>
      </patternFill>
    </fill>
    <fill>
      <patternFill patternType="solid">
        <fgColor rgb="FFFFFF00"/>
        <bgColor rgb="FFFFFF00"/>
      </patternFill>
    </fill>
    <fill>
      <patternFill patternType="solid">
        <fgColor rgb="FF404040"/>
        <bgColor rgb="FF404040"/>
      </patternFill>
    </fill>
  </fills>
  <borders count="33">
    <border>
      <left/>
      <right/>
      <top/>
      <bottom/>
      <diagonal/>
    </border>
    <border>
      <left/>
      <right/>
      <top/>
      <bottom style="thick">
        <color rgb="FF4472C4"/>
      </bottom>
      <diagonal/>
    </border>
    <border>
      <left/>
      <right/>
      <top/>
      <bottom style="medium">
        <color rgb="FF8EA9DB"/>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rgb="FF000000"/>
      </left>
      <right style="medium">
        <color rgb="FF000000"/>
      </right>
      <top style="medium">
        <color rgb="FF000000"/>
      </top>
      <bottom style="medium">
        <color rgb="FF8EA9DB"/>
      </bottom>
      <diagonal/>
    </border>
    <border>
      <left style="medium">
        <color rgb="FF000000"/>
      </left>
      <right style="medium">
        <color rgb="FF000000"/>
      </right>
      <top/>
      <bottom/>
      <diagonal/>
    </border>
    <border>
      <left style="medium">
        <color rgb="FF000000"/>
      </left>
      <right style="medium">
        <color rgb="FF000000"/>
      </right>
      <top/>
      <bottom style="medium">
        <color rgb="FF8EA9DB"/>
      </bottom>
      <diagonal/>
    </border>
    <border>
      <left/>
      <right style="medium">
        <color rgb="FF000000"/>
      </right>
      <top/>
      <bottom/>
      <diagonal/>
    </border>
    <border>
      <left style="medium">
        <color rgb="FF000000"/>
      </left>
      <right/>
      <top style="medium">
        <color rgb="FF000000"/>
      </top>
      <bottom style="medium">
        <color rgb="FF8EA9DB"/>
      </bottom>
      <diagonal/>
    </border>
    <border>
      <left/>
      <right/>
      <top style="medium">
        <color rgb="FF000000"/>
      </top>
      <bottom style="medium">
        <color rgb="FF8EA9DB"/>
      </bottom>
      <diagonal/>
    </border>
    <border>
      <left/>
      <right style="medium">
        <color rgb="FF000000"/>
      </right>
      <top style="medium">
        <color rgb="FF000000"/>
      </top>
      <bottom style="medium">
        <color rgb="FF8EA9DB"/>
      </bottom>
      <diagonal/>
    </border>
    <border>
      <left style="medium">
        <color rgb="FF000000"/>
      </left>
      <right/>
      <top/>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8EA9DB"/>
      </left>
      <right/>
      <top style="thin">
        <color rgb="FF8EA9DB"/>
      </top>
      <bottom style="thin">
        <color rgb="FF8EA9DB"/>
      </bottom>
      <diagonal/>
    </border>
    <border>
      <left/>
      <right/>
      <top style="thin">
        <color rgb="FF8EA9DB"/>
      </top>
      <bottom style="thin">
        <color rgb="FF8EA9DB"/>
      </bottom>
      <diagonal/>
    </border>
    <border>
      <left/>
      <right style="thin">
        <color rgb="FF8EA9DB"/>
      </right>
      <top style="thin">
        <color rgb="FF8EA9DB"/>
      </top>
      <bottom style="thin">
        <color rgb="FF8EA9DB"/>
      </bottom>
      <diagonal/>
    </border>
  </borders>
  <cellStyleXfs count="10">
    <xf numFmtId="0" fontId="0" fillId="0" borderId="0"/>
    <xf numFmtId="0" fontId="1" fillId="2" borderId="0" applyNumberFormat="0" applyBorder="0" applyAlignment="0">
      <protection locked="0"/>
    </xf>
    <xf numFmtId="0" fontId="1" fillId="3" borderId="0" applyNumberFormat="0" applyBorder="0" applyAlignment="0">
      <protection locked="0"/>
    </xf>
    <xf numFmtId="173" fontId="1" fillId="0" borderId="0" applyFont="0" applyFill="0" applyBorder="0" applyAlignment="0" applyProtection="0"/>
    <xf numFmtId="174"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9" fontId="1" fillId="0" borderId="0" applyFont="0" applyFill="0" applyBorder="0" applyAlignment="0" applyProtection="0"/>
    <xf numFmtId="0" fontId="4" fillId="4" borderId="0" applyNumberFormat="0" applyBorder="0" applyAlignment="0" applyProtection="0"/>
    <xf numFmtId="164" fontId="1" fillId="0" borderId="0" applyFont="0" applyFill="0" applyBorder="0" applyAlignment="0" applyProtection="0"/>
  </cellStyleXfs>
  <cellXfs count="371">
    <xf numFmtId="0" fontId="0" fillId="0" borderId="0" xfId="0"/>
    <xf numFmtId="0" fontId="0" fillId="0" borderId="0" xfId="0" applyAlignment="1">
      <alignment wrapText="1"/>
    </xf>
    <xf numFmtId="0" fontId="6" fillId="5" borderId="0" xfId="0" applyFont="1" applyFill="1" applyAlignment="1">
      <alignment vertical="top"/>
    </xf>
    <xf numFmtId="0" fontId="0" fillId="5" borderId="0" xfId="0" applyFont="1" applyFill="1" applyAlignment="1">
      <alignment vertical="top" wrapText="1"/>
    </xf>
    <xf numFmtId="0" fontId="7" fillId="5" borderId="0" xfId="0" applyFont="1" applyFill="1" applyAlignment="1">
      <alignment wrapText="1"/>
    </xf>
    <xf numFmtId="0" fontId="8" fillId="5" borderId="0" xfId="0" applyFont="1" applyFill="1" applyAlignment="1">
      <alignment vertical="center" wrapText="1"/>
    </xf>
    <xf numFmtId="0" fontId="0" fillId="5" borderId="0" xfId="0" applyFill="1" applyAlignment="1">
      <alignment vertical="top"/>
    </xf>
    <xf numFmtId="0" fontId="0" fillId="0" borderId="0" xfId="0" applyAlignment="1">
      <alignment vertical="top"/>
    </xf>
    <xf numFmtId="0" fontId="9" fillId="5" borderId="0" xfId="0" applyFont="1" applyFill="1" applyAlignment="1">
      <alignment horizontal="left" vertical="top"/>
    </xf>
    <xf numFmtId="0" fontId="10" fillId="5" borderId="0" xfId="0" applyFont="1" applyFill="1" applyAlignment="1">
      <alignment vertical="top" wrapText="1"/>
    </xf>
    <xf numFmtId="0" fontId="11" fillId="5" borderId="0" xfId="0" applyFont="1" applyFill="1" applyAlignment="1">
      <alignment vertical="center" wrapText="1"/>
    </xf>
    <xf numFmtId="0" fontId="12"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vertical="top"/>
    </xf>
    <xf numFmtId="0" fontId="13" fillId="5" borderId="0" xfId="0" applyFont="1" applyFill="1" applyAlignment="1">
      <alignment vertical="top"/>
    </xf>
    <xf numFmtId="0" fontId="11" fillId="5" borderId="0" xfId="0" applyFont="1" applyFill="1" applyAlignment="1">
      <alignment vertical="center"/>
    </xf>
    <xf numFmtId="0" fontId="14" fillId="6" borderId="3" xfId="0" applyFont="1" applyFill="1" applyBorder="1" applyAlignment="1">
      <alignment vertical="center" wrapText="1"/>
    </xf>
    <xf numFmtId="0" fontId="12" fillId="7" borderId="3" xfId="0" applyFont="1" applyFill="1" applyBorder="1" applyAlignment="1">
      <alignment horizontal="center" vertical="center" wrapText="1"/>
    </xf>
    <xf numFmtId="0" fontId="14" fillId="6" borderId="3" xfId="0" applyFont="1" applyFill="1" applyBorder="1" applyAlignment="1">
      <alignment horizontal="left" vertical="center" wrapText="1"/>
    </xf>
    <xf numFmtId="0" fontId="14" fillId="8" borderId="3" xfId="0" applyFont="1" applyFill="1" applyBorder="1" applyAlignment="1">
      <alignment vertical="center"/>
    </xf>
    <xf numFmtId="0" fontId="15" fillId="9" borderId="3" xfId="0" applyFont="1" applyFill="1" applyBorder="1" applyAlignment="1">
      <alignment horizontal="left" vertical="center"/>
    </xf>
    <xf numFmtId="0" fontId="14" fillId="9" borderId="3" xfId="0" applyFont="1" applyFill="1" applyBorder="1" applyAlignment="1">
      <alignment vertical="center" wrapText="1"/>
    </xf>
    <xf numFmtId="0" fontId="14" fillId="9" borderId="3" xfId="0" applyFont="1" applyFill="1" applyBorder="1" applyAlignment="1">
      <alignment horizontal="left" vertical="center" wrapText="1"/>
    </xf>
    <xf numFmtId="0" fontId="16" fillId="10" borderId="3" xfId="0" applyFont="1" applyFill="1" applyBorder="1" applyAlignment="1">
      <alignment vertical="top"/>
    </xf>
    <xf numFmtId="0" fontId="8" fillId="0" borderId="3" xfId="0" applyFont="1" applyBorder="1" applyAlignment="1">
      <alignment vertical="center" wrapText="1"/>
    </xf>
    <xf numFmtId="0" fontId="16" fillId="0" borderId="3" xfId="0" applyFont="1" applyBorder="1" applyAlignment="1">
      <alignment vertical="center" wrapText="1"/>
    </xf>
    <xf numFmtId="0" fontId="17" fillId="11" borderId="3" xfId="0" applyFont="1" applyFill="1" applyBorder="1" applyAlignment="1">
      <alignment vertical="center" wrapText="1"/>
    </xf>
    <xf numFmtId="0" fontId="18" fillId="5" borderId="3" xfId="0" applyFont="1" applyFill="1" applyBorder="1" applyAlignment="1">
      <alignment horizontal="center" vertical="center" wrapText="1"/>
    </xf>
    <xf numFmtId="0" fontId="16" fillId="7" borderId="3" xfId="0" applyFont="1" applyFill="1" applyBorder="1" applyAlignment="1">
      <alignment vertical="center" wrapText="1"/>
    </xf>
    <xf numFmtId="0" fontId="16" fillId="7" borderId="3" xfId="0" applyFont="1" applyFill="1" applyBorder="1" applyAlignment="1">
      <alignment horizontal="center" vertical="center" wrapText="1"/>
    </xf>
    <xf numFmtId="0" fontId="19" fillId="0" borderId="0" xfId="0" applyFont="1"/>
    <xf numFmtId="0" fontId="20" fillId="5" borderId="3" xfId="0" applyFont="1" applyFill="1" applyBorder="1" applyAlignment="1">
      <alignment vertical="center" wrapText="1"/>
    </xf>
    <xf numFmtId="0" fontId="8" fillId="5" borderId="3" xfId="0" applyFont="1" applyFill="1" applyBorder="1" applyAlignment="1">
      <alignment vertical="center" wrapText="1"/>
    </xf>
    <xf numFmtId="0" fontId="21" fillId="0" borderId="3" xfId="0" applyFont="1" applyBorder="1" applyAlignment="1">
      <alignment vertical="center" wrapText="1"/>
    </xf>
    <xf numFmtId="0" fontId="16" fillId="5" borderId="3" xfId="0" applyFont="1" applyFill="1" applyBorder="1" applyAlignment="1">
      <alignment vertical="center" wrapText="1"/>
    </xf>
    <xf numFmtId="0" fontId="21" fillId="5" borderId="3" xfId="0" applyFont="1" applyFill="1" applyBorder="1" applyAlignment="1">
      <alignment vertical="center" wrapText="1"/>
    </xf>
    <xf numFmtId="0" fontId="22" fillId="11" borderId="3" xfId="0" applyFont="1" applyFill="1" applyBorder="1" applyAlignment="1">
      <alignment vertical="center" wrapText="1"/>
    </xf>
    <xf numFmtId="167" fontId="22" fillId="11" borderId="3" xfId="9" applyNumberFormat="1" applyFont="1" applyFill="1" applyBorder="1" applyAlignment="1">
      <alignment vertical="center" wrapText="1"/>
    </xf>
    <xf numFmtId="0" fontId="20" fillId="0" borderId="3" xfId="0" applyFont="1" applyBorder="1" applyAlignment="1">
      <alignment vertical="center" wrapText="1"/>
    </xf>
    <xf numFmtId="164" fontId="8" fillId="0" borderId="3" xfId="9" applyFont="1" applyBorder="1" applyAlignment="1">
      <alignment horizontal="left" vertical="center" wrapText="1"/>
    </xf>
    <xf numFmtId="0" fontId="16" fillId="0" borderId="3" xfId="0" applyFont="1" applyBorder="1" applyAlignment="1">
      <alignment horizontal="left" vertical="center" wrapText="1"/>
    </xf>
    <xf numFmtId="0" fontId="8" fillId="0" borderId="4" xfId="0" applyFont="1" applyBorder="1" applyAlignment="1">
      <alignment vertical="center" wrapText="1"/>
    </xf>
    <xf numFmtId="0" fontId="24" fillId="0" borderId="3" xfId="0" applyFont="1" applyBorder="1" applyAlignment="1">
      <alignment horizontal="left" vertical="center" wrapText="1"/>
    </xf>
    <xf numFmtId="0" fontId="9" fillId="0" borderId="3" xfId="0" applyFont="1" applyBorder="1" applyAlignment="1">
      <alignment horizontal="left" vertical="center" wrapText="1"/>
    </xf>
    <xf numFmtId="0" fontId="25" fillId="9" borderId="3" xfId="0" applyFont="1" applyFill="1" applyBorder="1" applyAlignment="1">
      <alignment vertical="center"/>
    </xf>
    <xf numFmtId="0" fontId="25" fillId="9" borderId="3" xfId="0" applyFont="1" applyFill="1" applyBorder="1" applyAlignment="1">
      <alignment vertical="center" wrapText="1"/>
    </xf>
    <xf numFmtId="0" fontId="8" fillId="7" borderId="3" xfId="0" applyFont="1" applyFill="1" applyBorder="1" applyAlignment="1">
      <alignment horizontal="left" vertical="center" wrapText="1"/>
    </xf>
    <xf numFmtId="0" fontId="8" fillId="7" borderId="3" xfId="0" applyFont="1" applyFill="1" applyBorder="1" applyAlignment="1">
      <alignment vertical="center" wrapText="1"/>
    </xf>
    <xf numFmtId="0" fontId="0" fillId="0" borderId="0" xfId="0" applyFont="1" applyAlignment="1">
      <alignment vertical="top" wrapText="1"/>
    </xf>
    <xf numFmtId="0" fontId="15" fillId="0" borderId="0" xfId="0" applyFont="1" applyAlignment="1">
      <alignment vertical="top"/>
    </xf>
    <xf numFmtId="0" fontId="0" fillId="0" borderId="0" xfId="0" applyAlignment="1">
      <alignment vertical="top" wrapText="1"/>
    </xf>
    <xf numFmtId="0" fontId="15" fillId="5" borderId="0" xfId="0" applyFont="1" applyFill="1" applyAlignment="1">
      <alignment vertical="top"/>
    </xf>
    <xf numFmtId="0" fontId="26" fillId="5" borderId="0" xfId="0" applyFont="1" applyFill="1" applyAlignment="1">
      <alignment wrapText="1"/>
    </xf>
    <xf numFmtId="0" fontId="16" fillId="5" borderId="0" xfId="0" applyFont="1" applyFill="1" applyAlignment="1">
      <alignment wrapText="1"/>
    </xf>
    <xf numFmtId="0" fontId="0" fillId="5" borderId="0" xfId="0" applyFill="1" applyAlignment="1">
      <alignment vertical="top" wrapText="1"/>
    </xf>
    <xf numFmtId="0" fontId="8" fillId="5" borderId="0" xfId="0" applyFont="1" applyFill="1" applyAlignment="1">
      <alignment vertical="top" wrapText="1"/>
    </xf>
    <xf numFmtId="0" fontId="8" fillId="5" borderId="0" xfId="0" applyFont="1" applyFill="1" applyAlignment="1">
      <alignment vertical="top"/>
    </xf>
    <xf numFmtId="0" fontId="14" fillId="6" borderId="3" xfId="0" applyFont="1" applyFill="1" applyBorder="1" applyAlignment="1">
      <alignment wrapText="1"/>
    </xf>
    <xf numFmtId="0" fontId="14" fillId="6" borderId="3" xfId="0" applyFont="1" applyFill="1" applyBorder="1" applyAlignment="1">
      <alignment horizontal="left" wrapText="1"/>
    </xf>
    <xf numFmtId="0" fontId="8" fillId="0" borderId="3" xfId="0" applyFont="1" applyBorder="1" applyAlignment="1">
      <alignment horizontal="left" vertical="center"/>
    </xf>
    <xf numFmtId="0" fontId="27" fillId="9" borderId="3" xfId="0" applyFont="1" applyFill="1" applyBorder="1" applyAlignment="1">
      <alignment vertical="center" wrapText="1"/>
    </xf>
    <xf numFmtId="0" fontId="8" fillId="0" borderId="5" xfId="0" applyFont="1" applyBorder="1" applyAlignment="1">
      <alignment vertical="center" wrapText="1"/>
    </xf>
    <xf numFmtId="0" fontId="16" fillId="0" borderId="5"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16" fillId="0" borderId="6" xfId="0" applyFont="1" applyBorder="1" applyAlignment="1">
      <alignment vertical="center" wrapText="1"/>
    </xf>
    <xf numFmtId="0" fontId="8" fillId="0" borderId="7" xfId="0" applyFont="1" applyBorder="1" applyAlignment="1">
      <alignment vertical="center" wrapText="1"/>
    </xf>
    <xf numFmtId="0" fontId="18" fillId="5" borderId="8" xfId="0" applyFont="1" applyFill="1" applyBorder="1" applyAlignment="1">
      <alignment horizontal="center" vertical="center" wrapText="1"/>
    </xf>
    <xf numFmtId="0" fontId="8" fillId="0" borderId="9" xfId="0" applyFont="1" applyBorder="1" applyAlignment="1">
      <alignment vertical="center" wrapText="1"/>
    </xf>
    <xf numFmtId="0" fontId="16" fillId="0" borderId="9" xfId="0" applyFont="1" applyBorder="1" applyAlignment="1">
      <alignment vertical="center" wrapText="1"/>
    </xf>
    <xf numFmtId="0" fontId="16" fillId="0" borderId="0" xfId="0" applyFont="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8" fillId="0" borderId="13" xfId="0" applyFont="1" applyBorder="1" applyAlignment="1">
      <alignment vertical="center" wrapText="1"/>
    </xf>
    <xf numFmtId="0" fontId="14" fillId="6" borderId="3" xfId="0" applyFont="1" applyFill="1" applyBorder="1" applyAlignment="1">
      <alignment vertical="center"/>
    </xf>
    <xf numFmtId="0" fontId="16" fillId="9" borderId="3" xfId="0" applyFont="1" applyFill="1" applyBorder="1" applyAlignment="1">
      <alignment vertical="center"/>
    </xf>
    <xf numFmtId="0" fontId="16" fillId="9" borderId="3" xfId="0" applyFont="1" applyFill="1" applyBorder="1" applyAlignment="1">
      <alignment vertical="top" wrapText="1"/>
    </xf>
    <xf numFmtId="0" fontId="16" fillId="9" borderId="3" xfId="0" applyFont="1" applyFill="1" applyBorder="1" applyAlignment="1">
      <alignment vertical="top"/>
    </xf>
    <xf numFmtId="0" fontId="8" fillId="0" borderId="3" xfId="0" applyFont="1" applyBorder="1" applyAlignment="1">
      <alignment vertical="top" wrapText="1"/>
    </xf>
    <xf numFmtId="0" fontId="16" fillId="0" borderId="3" xfId="0" applyFont="1" applyBorder="1" applyAlignment="1">
      <alignment horizontal="left" vertical="top" wrapText="1"/>
    </xf>
    <xf numFmtId="0" fontId="28" fillId="0" borderId="3" xfId="0" applyFont="1" applyBorder="1" applyAlignment="1">
      <alignment horizontal="left" vertical="top" wrapText="1"/>
    </xf>
    <xf numFmtId="0" fontId="8" fillId="0" borderId="3" xfId="0" applyFont="1" applyBorder="1" applyAlignment="1">
      <alignment horizontal="left" vertical="top" wrapText="1"/>
    </xf>
    <xf numFmtId="0" fontId="16" fillId="5" borderId="3" xfId="0" applyFont="1" applyFill="1" applyBorder="1" applyAlignment="1">
      <alignment horizontal="left" vertical="top" wrapText="1"/>
    </xf>
    <xf numFmtId="0" fontId="16" fillId="7" borderId="3" xfId="0" applyFont="1" applyFill="1" applyBorder="1" applyAlignment="1">
      <alignment vertical="top" wrapText="1"/>
    </xf>
    <xf numFmtId="0" fontId="16" fillId="7" borderId="3" xfId="0" applyFont="1" applyFill="1" applyBorder="1" applyAlignment="1">
      <alignment horizontal="left" vertical="top" wrapText="1"/>
    </xf>
    <xf numFmtId="0" fontId="29" fillId="0" borderId="3" xfId="0" applyFont="1" applyBorder="1" applyAlignment="1">
      <alignment horizontal="left" vertical="top" wrapText="1"/>
    </xf>
    <xf numFmtId="0" fontId="15" fillId="2" borderId="3" xfId="0" applyFont="1" applyFill="1" applyBorder="1" applyAlignment="1">
      <alignment vertical="top"/>
    </xf>
    <xf numFmtId="0" fontId="14" fillId="2" borderId="3" xfId="0" applyFont="1" applyFill="1" applyBorder="1" applyAlignment="1">
      <alignment vertical="center" wrapText="1"/>
    </xf>
    <xf numFmtId="0" fontId="14" fillId="2" borderId="3" xfId="0" applyFont="1" applyFill="1" applyBorder="1" applyAlignment="1">
      <alignment horizontal="left" vertical="center" wrapText="1"/>
    </xf>
    <xf numFmtId="0" fontId="8" fillId="0" borderId="4" xfId="0" applyFont="1" applyBorder="1" applyAlignment="1">
      <alignment vertical="top" wrapText="1"/>
    </xf>
    <xf numFmtId="0" fontId="15" fillId="2" borderId="3" xfId="0" applyFont="1" applyFill="1" applyBorder="1" applyAlignment="1">
      <alignment vertical="center"/>
    </xf>
    <xf numFmtId="0" fontId="17" fillId="11" borderId="3" xfId="0" applyFont="1" applyFill="1" applyBorder="1" applyAlignment="1">
      <alignment horizontal="center" vertical="top" wrapText="1"/>
    </xf>
    <xf numFmtId="0" fontId="8" fillId="0" borderId="5" xfId="0" applyFont="1" applyBorder="1" applyAlignment="1">
      <alignment horizontal="left" vertical="top" wrapText="1"/>
    </xf>
    <xf numFmtId="0" fontId="21" fillId="0" borderId="3" xfId="0" applyFont="1" applyBorder="1" applyAlignment="1">
      <alignment horizontal="left" vertical="top" wrapText="1"/>
    </xf>
    <xf numFmtId="0" fontId="8" fillId="7" borderId="3" xfId="0" applyFont="1" applyFill="1" applyBorder="1" applyAlignment="1">
      <alignment horizontal="left" vertical="top" wrapText="1"/>
    </xf>
    <xf numFmtId="0" fontId="30" fillId="0" borderId="8" xfId="0" applyFont="1" applyBorder="1" applyAlignment="1">
      <alignment vertical="top"/>
    </xf>
    <xf numFmtId="0" fontId="16" fillId="2" borderId="5"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14" xfId="0" applyFont="1" applyFill="1" applyBorder="1" applyAlignment="1">
      <alignment vertical="top" wrapText="1"/>
    </xf>
    <xf numFmtId="0" fontId="16" fillId="0" borderId="5" xfId="0" applyFont="1" applyBorder="1" applyAlignment="1">
      <alignment horizontal="left" vertical="top" wrapText="1"/>
    </xf>
    <xf numFmtId="0" fontId="31" fillId="0" borderId="5" xfId="0" applyFont="1" applyBorder="1" applyAlignment="1">
      <alignment horizontal="left" vertical="top" wrapText="1"/>
    </xf>
    <xf numFmtId="0" fontId="8" fillId="0" borderId="14" xfId="0" applyFont="1" applyBorder="1" applyAlignment="1">
      <alignment vertical="top" wrapText="1"/>
    </xf>
    <xf numFmtId="0" fontId="31" fillId="0" borderId="3" xfId="0" applyFont="1" applyBorder="1" applyAlignment="1">
      <alignment horizontal="left" vertical="top" wrapText="1"/>
    </xf>
    <xf numFmtId="0" fontId="16" fillId="2" borderId="3"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vertical="top" wrapText="1"/>
    </xf>
    <xf numFmtId="0" fontId="30" fillId="12" borderId="7" xfId="0" applyFont="1" applyFill="1" applyBorder="1" applyAlignment="1">
      <alignment vertical="top"/>
    </xf>
    <xf numFmtId="0" fontId="30" fillId="7" borderId="8" xfId="0" applyFont="1" applyFill="1" applyBorder="1" applyAlignment="1">
      <alignment vertical="top"/>
    </xf>
    <xf numFmtId="0" fontId="8" fillId="7" borderId="4" xfId="0" applyFont="1" applyFill="1" applyBorder="1" applyAlignment="1">
      <alignment vertical="top" wrapText="1"/>
    </xf>
    <xf numFmtId="0" fontId="16" fillId="7" borderId="5" xfId="0" applyFont="1" applyFill="1" applyBorder="1" applyAlignment="1">
      <alignment horizontal="left" vertical="top" wrapText="1"/>
    </xf>
    <xf numFmtId="0" fontId="6" fillId="9" borderId="3" xfId="0" applyFont="1" applyFill="1" applyBorder="1" applyAlignment="1">
      <alignment vertical="top"/>
    </xf>
    <xf numFmtId="0" fontId="16" fillId="9" borderId="3" xfId="0" applyFont="1" applyFill="1" applyBorder="1" applyAlignment="1">
      <alignment horizontal="left" vertical="top" wrapText="1"/>
    </xf>
    <xf numFmtId="0" fontId="8" fillId="9" borderId="3" xfId="0" applyFont="1" applyFill="1" applyBorder="1" applyAlignment="1">
      <alignment horizontal="left" vertical="top" wrapText="1"/>
    </xf>
    <xf numFmtId="0" fontId="29" fillId="9" borderId="3" xfId="0" applyFont="1" applyFill="1" applyBorder="1" applyAlignment="1">
      <alignment horizontal="left" vertical="top" wrapText="1"/>
    </xf>
    <xf numFmtId="0" fontId="32" fillId="9" borderId="3" xfId="0" applyFont="1" applyFill="1" applyBorder="1" applyAlignment="1">
      <alignment vertical="top"/>
    </xf>
    <xf numFmtId="0" fontId="8" fillId="0" borderId="3" xfId="0" applyFont="1" applyBorder="1" applyAlignment="1">
      <alignment horizontal="left" vertical="center" wrapText="1"/>
    </xf>
    <xf numFmtId="0" fontId="33" fillId="0" borderId="3" xfId="0" applyFont="1" applyBorder="1" applyAlignment="1">
      <alignment horizontal="left" vertical="center" wrapText="1"/>
    </xf>
    <xf numFmtId="0" fontId="34" fillId="9" borderId="3" xfId="0" applyFont="1" applyFill="1" applyBorder="1" applyAlignment="1">
      <alignment vertical="top"/>
    </xf>
    <xf numFmtId="0" fontId="36" fillId="9" borderId="3" xfId="0" applyFont="1" applyFill="1" applyBorder="1" applyAlignment="1">
      <alignment vertical="top"/>
    </xf>
    <xf numFmtId="0" fontId="31" fillId="9" borderId="3" xfId="0" applyFont="1" applyFill="1" applyBorder="1" applyAlignment="1">
      <alignment horizontal="left" vertical="top" wrapText="1"/>
    </xf>
    <xf numFmtId="0" fontId="31" fillId="9" borderId="3" xfId="0" applyFont="1" applyFill="1" applyBorder="1" applyAlignment="1">
      <alignment vertical="top"/>
    </xf>
    <xf numFmtId="0" fontId="17" fillId="7" borderId="3" xfId="0" applyFont="1" applyFill="1" applyBorder="1" applyAlignment="1">
      <alignment vertical="top"/>
    </xf>
    <xf numFmtId="0" fontId="16" fillId="7" borderId="3" xfId="0" applyFont="1" applyFill="1" applyBorder="1" applyAlignment="1">
      <alignment vertical="top"/>
    </xf>
    <xf numFmtId="0" fontId="38" fillId="5" borderId="0" xfId="0" applyFont="1" applyFill="1" applyAlignment="1">
      <alignment vertical="top" wrapText="1"/>
    </xf>
    <xf numFmtId="0" fontId="14" fillId="6" borderId="3" xfId="0" applyFont="1" applyFill="1" applyBorder="1" applyAlignment="1">
      <alignment vertical="top" wrapText="1"/>
    </xf>
    <xf numFmtId="0" fontId="14" fillId="6" borderId="3" xfId="0" applyFont="1" applyFill="1" applyBorder="1" applyAlignment="1">
      <alignment horizontal="left" vertical="top" wrapText="1"/>
    </xf>
    <xf numFmtId="0" fontId="39" fillId="8" borderId="3" xfId="0" applyFont="1" applyFill="1" applyBorder="1" applyAlignment="1">
      <alignment vertical="center"/>
    </xf>
    <xf numFmtId="0" fontId="15" fillId="9" borderId="3" xfId="0" applyFont="1" applyFill="1" applyBorder="1" applyAlignment="1">
      <alignment horizontal="left" vertical="top"/>
    </xf>
    <xf numFmtId="0" fontId="40" fillId="10" borderId="3" xfId="0" applyFont="1" applyFill="1" applyBorder="1" applyAlignment="1">
      <alignment vertical="top"/>
    </xf>
    <xf numFmtId="0" fontId="8" fillId="5" borderId="14" xfId="0" applyFont="1" applyFill="1" applyBorder="1" applyAlignment="1">
      <alignment vertical="center" wrapText="1"/>
    </xf>
    <xf numFmtId="0" fontId="25" fillId="5" borderId="7" xfId="0" applyFont="1" applyFill="1" applyBorder="1" applyAlignment="1">
      <alignment horizontal="left" vertical="center" wrapText="1"/>
    </xf>
    <xf numFmtId="0" fontId="16" fillId="5" borderId="5" xfId="0" applyFont="1" applyFill="1" applyBorder="1" applyAlignment="1">
      <alignment horizontal="left" vertical="top" wrapText="1"/>
    </xf>
    <xf numFmtId="0" fontId="25" fillId="5" borderId="5" xfId="0" applyFont="1" applyFill="1" applyBorder="1" applyAlignment="1">
      <alignment horizontal="left" vertical="top" wrapText="1"/>
    </xf>
    <xf numFmtId="0" fontId="40" fillId="5" borderId="5"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16" fillId="5" borderId="9" xfId="0" applyFont="1" applyFill="1" applyBorder="1" applyAlignment="1">
      <alignment horizontal="left" vertical="top" wrapText="1"/>
    </xf>
    <xf numFmtId="0" fontId="40" fillId="5" borderId="9" xfId="0" applyFont="1" applyFill="1" applyBorder="1" applyAlignment="1">
      <alignment horizontal="left" vertical="top" wrapText="1"/>
    </xf>
    <xf numFmtId="0" fontId="5" fillId="5" borderId="10" xfId="0" applyFont="1" applyFill="1" applyBorder="1" applyAlignment="1">
      <alignment horizontal="left" vertical="top" wrapText="1"/>
    </xf>
    <xf numFmtId="0" fontId="0" fillId="5" borderId="15" xfId="0" applyFill="1" applyBorder="1" applyAlignment="1">
      <alignment vertical="top"/>
    </xf>
    <xf numFmtId="0" fontId="8" fillId="5" borderId="9" xfId="0" applyFont="1" applyFill="1" applyBorder="1" applyAlignment="1">
      <alignment horizontal="left" vertical="top" wrapText="1"/>
    </xf>
    <xf numFmtId="0" fontId="25" fillId="5" borderId="10" xfId="0" applyFont="1" applyFill="1" applyBorder="1" applyAlignment="1">
      <alignment horizontal="left" vertical="top" wrapText="1"/>
    </xf>
    <xf numFmtId="0" fontId="0" fillId="5" borderId="0" xfId="0" applyFont="1" applyFill="1" applyAlignment="1">
      <alignment vertical="top"/>
    </xf>
    <xf numFmtId="0" fontId="0" fillId="5" borderId="16" xfId="0" applyFill="1" applyBorder="1" applyAlignment="1">
      <alignment vertical="top"/>
    </xf>
    <xf numFmtId="0" fontId="25" fillId="5" borderId="13" xfId="0" applyFont="1" applyFill="1" applyBorder="1" applyAlignment="1">
      <alignment horizontal="left" vertical="top" wrapText="1"/>
    </xf>
    <xf numFmtId="0" fontId="16" fillId="5" borderId="11" xfId="0" applyFont="1" applyFill="1" applyBorder="1" applyAlignment="1">
      <alignment horizontal="left" vertical="top" wrapText="1"/>
    </xf>
    <xf numFmtId="0" fontId="40" fillId="5" borderId="11" xfId="0" applyFont="1" applyFill="1" applyBorder="1" applyAlignment="1">
      <alignment horizontal="left" vertical="top" wrapText="1"/>
    </xf>
    <xf numFmtId="0" fontId="0" fillId="5" borderId="3" xfId="0" applyFill="1" applyBorder="1" applyAlignment="1">
      <alignment vertical="top"/>
    </xf>
    <xf numFmtId="0" fontId="8" fillId="5" borderId="3" xfId="0" applyFont="1" applyFill="1" applyBorder="1" applyAlignment="1">
      <alignment horizontal="left" vertical="top" wrapText="1"/>
    </xf>
    <xf numFmtId="0" fontId="15" fillId="5" borderId="3" xfId="0" applyFont="1" applyFill="1" applyBorder="1" applyAlignment="1">
      <alignment vertical="top"/>
    </xf>
    <xf numFmtId="0" fontId="0" fillId="5" borderId="3" xfId="0" applyFill="1" applyBorder="1" applyAlignment="1">
      <alignment vertical="top" wrapText="1"/>
    </xf>
    <xf numFmtId="0" fontId="39" fillId="5" borderId="3" xfId="0" applyFont="1" applyFill="1" applyBorder="1" applyAlignment="1">
      <alignment horizontal="center" vertical="center" wrapText="1"/>
    </xf>
    <xf numFmtId="0" fontId="16" fillId="5" borderId="3" xfId="0" applyFont="1" applyFill="1" applyBorder="1" applyAlignment="1">
      <alignment wrapText="1"/>
    </xf>
    <xf numFmtId="0" fontId="8" fillId="5" borderId="3" xfId="0" applyFont="1" applyFill="1" applyBorder="1" applyAlignment="1">
      <alignment wrapText="1"/>
    </xf>
    <xf numFmtId="0" fontId="44" fillId="7" borderId="3" xfId="0" applyFont="1" applyFill="1" applyBorder="1" applyAlignment="1">
      <alignment horizontal="left" vertical="top"/>
    </xf>
    <xf numFmtId="0" fontId="0" fillId="0" borderId="3" xfId="0" applyBorder="1" applyAlignment="1">
      <alignment vertical="top"/>
    </xf>
    <xf numFmtId="0" fontId="16" fillId="0" borderId="3" xfId="0" applyFont="1" applyBorder="1" applyAlignment="1">
      <alignment wrapText="1"/>
    </xf>
    <xf numFmtId="0" fontId="8" fillId="0" borderId="3" xfId="0" applyFont="1" applyBorder="1" applyAlignment="1">
      <alignment wrapText="1"/>
    </xf>
    <xf numFmtId="0" fontId="15" fillId="0" borderId="3" xfId="0" applyFont="1" applyBorder="1" applyAlignment="1">
      <alignment wrapText="1"/>
    </xf>
    <xf numFmtId="0" fontId="0" fillId="0" borderId="3" xfId="0" applyBorder="1" applyAlignment="1">
      <alignment wrapText="1"/>
    </xf>
    <xf numFmtId="0" fontId="5" fillId="0" borderId="3" xfId="0" applyFont="1" applyBorder="1" applyAlignment="1">
      <alignment horizontal="center" vertical="center" wrapText="1"/>
    </xf>
    <xf numFmtId="0" fontId="25" fillId="7" borderId="3" xfId="0" applyFont="1" applyFill="1" applyBorder="1" applyAlignment="1">
      <alignment horizontal="left" vertical="center" wrapText="1"/>
    </xf>
    <xf numFmtId="0" fontId="5" fillId="0" borderId="3" xfId="0" applyFont="1" applyBorder="1" applyAlignment="1">
      <alignment horizontal="left" vertical="center" wrapText="1"/>
    </xf>
    <xf numFmtId="0" fontId="45" fillId="11" borderId="3" xfId="0" applyFont="1" applyFill="1" applyBorder="1" applyAlignment="1">
      <alignment horizontal="left" vertical="center" wrapText="1"/>
    </xf>
    <xf numFmtId="0" fontId="15" fillId="0" borderId="3" xfId="0" applyFont="1" applyBorder="1"/>
    <xf numFmtId="0" fontId="5" fillId="7" borderId="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0" borderId="3" xfId="0" applyFont="1" applyBorder="1" applyAlignment="1">
      <alignment horizontal="left" vertical="center"/>
    </xf>
    <xf numFmtId="0" fontId="15" fillId="0" borderId="3" xfId="0" applyFont="1" applyBorder="1" applyAlignment="1">
      <alignment horizontal="left" vertical="top"/>
    </xf>
    <xf numFmtId="0" fontId="0" fillId="0" borderId="3" xfId="0" applyBorder="1" applyAlignment="1">
      <alignment horizontal="left" vertical="top" wrapText="1"/>
    </xf>
    <xf numFmtId="0" fontId="16" fillId="0" borderId="3" xfId="0" applyFont="1" applyBorder="1" applyAlignment="1">
      <alignment vertical="top" wrapText="1"/>
    </xf>
    <xf numFmtId="0" fontId="15" fillId="0" borderId="3" xfId="0" applyFont="1" applyBorder="1" applyAlignment="1">
      <alignment vertical="top"/>
    </xf>
    <xf numFmtId="0" fontId="0" fillId="0" borderId="3" xfId="0" applyBorder="1" applyAlignment="1">
      <alignment vertical="top" wrapText="1"/>
    </xf>
    <xf numFmtId="0" fontId="0" fillId="0" borderId="3" xfId="0" applyFont="1" applyBorder="1" applyAlignment="1">
      <alignment vertical="top" wrapText="1"/>
    </xf>
    <xf numFmtId="0" fontId="14" fillId="6" borderId="3" xfId="0" applyFont="1" applyFill="1" applyBorder="1" applyAlignment="1">
      <alignment vertical="top"/>
    </xf>
    <xf numFmtId="0" fontId="15" fillId="6" borderId="3" xfId="0" applyFont="1" applyFill="1" applyBorder="1" applyAlignment="1">
      <alignment vertical="top" wrapText="1"/>
    </xf>
    <xf numFmtId="0" fontId="15" fillId="6" borderId="3" xfId="0" applyFont="1" applyFill="1" applyBorder="1" applyAlignment="1">
      <alignment vertical="top"/>
    </xf>
    <xf numFmtId="0" fontId="39" fillId="6" borderId="3" xfId="0" applyFont="1" applyFill="1" applyBorder="1" applyAlignment="1">
      <alignment vertical="top" wrapText="1"/>
    </xf>
    <xf numFmtId="0" fontId="38" fillId="0" borderId="0" xfId="0" applyFont="1" applyAlignment="1">
      <alignment vertical="top" wrapText="1"/>
    </xf>
    <xf numFmtId="0" fontId="46" fillId="5" borderId="0" xfId="0" applyFont="1" applyFill="1" applyAlignment="1">
      <alignment vertical="top"/>
    </xf>
    <xf numFmtId="0" fontId="5" fillId="5" borderId="0" xfId="0" applyFont="1" applyFill="1" applyAlignment="1">
      <alignment vertical="top" wrapText="1"/>
    </xf>
    <xf numFmtId="0" fontId="16" fillId="9" borderId="3" xfId="0" applyFont="1" applyFill="1" applyBorder="1" applyAlignment="1">
      <alignment horizontal="left" vertical="top"/>
    </xf>
    <xf numFmtId="0" fontId="17" fillId="5" borderId="4" xfId="0" applyFont="1" applyFill="1" applyBorder="1" applyAlignment="1">
      <alignment vertical="center" wrapText="1"/>
    </xf>
    <xf numFmtId="0" fontId="18" fillId="5" borderId="3" xfId="0" applyFont="1" applyFill="1" applyBorder="1" applyAlignment="1">
      <alignment horizontal="center" wrapText="1"/>
    </xf>
    <xf numFmtId="0" fontId="17" fillId="5" borderId="3" xfId="0" applyFont="1" applyFill="1" applyBorder="1" applyAlignment="1">
      <alignment vertical="center" wrapText="1"/>
    </xf>
    <xf numFmtId="0" fontId="8" fillId="5" borderId="3" xfId="0" applyFont="1" applyFill="1" applyBorder="1" applyAlignment="1">
      <alignment horizontal="left" vertical="center" wrapText="1"/>
    </xf>
    <xf numFmtId="0" fontId="0" fillId="5" borderId="3" xfId="0" applyFill="1" applyBorder="1" applyAlignment="1">
      <alignment vertical="center"/>
    </xf>
    <xf numFmtId="0" fontId="16" fillId="5" borderId="3" xfId="0" applyFont="1" applyFill="1" applyBorder="1" applyAlignment="1">
      <alignment horizontal="left" vertical="center" wrapText="1"/>
    </xf>
    <xf numFmtId="0" fontId="16" fillId="9" borderId="3" xfId="0" applyFont="1" applyFill="1" applyBorder="1" applyAlignment="1">
      <alignment horizontal="left" vertical="center"/>
    </xf>
    <xf numFmtId="0" fontId="16" fillId="9" borderId="3" xfId="0" applyFont="1" applyFill="1" applyBorder="1" applyAlignment="1">
      <alignment horizontal="left" vertical="center" wrapText="1"/>
    </xf>
    <xf numFmtId="0" fontId="8" fillId="9" borderId="3" xfId="0" applyFont="1" applyFill="1" applyBorder="1" applyAlignment="1">
      <alignment horizontal="left" vertical="center" wrapText="1"/>
    </xf>
    <xf numFmtId="0" fontId="15" fillId="0" borderId="3" xfId="0" applyFont="1" applyBorder="1" applyAlignment="1">
      <alignment vertical="center"/>
    </xf>
    <xf numFmtId="0" fontId="0" fillId="0" borderId="3" xfId="0" applyBorder="1" applyAlignment="1">
      <alignment vertical="center" wrapText="1"/>
    </xf>
    <xf numFmtId="0" fontId="0" fillId="0" borderId="3" xfId="0" applyBorder="1" applyAlignment="1">
      <alignment vertical="center"/>
    </xf>
    <xf numFmtId="9" fontId="0" fillId="0" borderId="3" xfId="0" applyNumberFormat="1" applyBorder="1" applyAlignment="1">
      <alignment horizontal="left" vertical="center"/>
    </xf>
    <xf numFmtId="0" fontId="16" fillId="7" borderId="3" xfId="0" applyFont="1" applyFill="1" applyBorder="1" applyAlignment="1">
      <alignment horizontal="left" vertical="center" wrapText="1"/>
    </xf>
    <xf numFmtId="0" fontId="44" fillId="5" borderId="0" xfId="0" applyFont="1" applyFill="1" applyAlignment="1">
      <alignment vertical="top"/>
    </xf>
    <xf numFmtId="0" fontId="8" fillId="5" borderId="0" xfId="0" applyFont="1" applyFill="1" applyAlignment="1">
      <alignment vertical="center"/>
    </xf>
    <xf numFmtId="0" fontId="14" fillId="6" borderId="3" xfId="0" applyFont="1" applyFill="1" applyBorder="1" applyAlignment="1">
      <alignment horizontal="center" vertical="center"/>
    </xf>
    <xf numFmtId="0" fontId="14" fillId="6" borderId="3" xfId="0" applyFont="1" applyFill="1" applyBorder="1" applyAlignment="1">
      <alignment horizontal="center" vertical="center" wrapText="1"/>
    </xf>
    <xf numFmtId="0" fontId="8" fillId="9" borderId="3" xfId="0" applyFont="1" applyFill="1" applyBorder="1" applyAlignment="1">
      <alignment vertical="center"/>
    </xf>
    <xf numFmtId="0" fontId="8" fillId="9" borderId="3" xfId="0" applyFont="1" applyFill="1" applyBorder="1" applyAlignment="1">
      <alignment horizontal="center" vertical="center" wrapText="1"/>
    </xf>
    <xf numFmtId="9" fontId="16"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5" fillId="0" borderId="3" xfId="0" applyFont="1" applyBorder="1" applyAlignment="1">
      <alignment horizontal="left" vertical="center"/>
    </xf>
    <xf numFmtId="0" fontId="16" fillId="0" borderId="3" xfId="0" applyFont="1" applyBorder="1" applyAlignment="1">
      <alignment horizontal="center" vertical="center" wrapText="1"/>
    </xf>
    <xf numFmtId="0" fontId="8" fillId="7" borderId="3" xfId="0" applyFont="1" applyFill="1" applyBorder="1" applyAlignment="1">
      <alignment horizontal="left" vertical="center"/>
    </xf>
    <xf numFmtId="0" fontId="8" fillId="9" borderId="3" xfId="0" applyFont="1" applyFill="1" applyBorder="1" applyAlignment="1">
      <alignment horizontal="left" vertical="center"/>
    </xf>
    <xf numFmtId="0" fontId="16" fillId="9" borderId="3" xfId="0" applyFont="1" applyFill="1" applyBorder="1" applyAlignment="1">
      <alignment horizontal="center" vertical="center" wrapText="1"/>
    </xf>
    <xf numFmtId="9" fontId="45" fillId="11" borderId="3" xfId="7" applyFont="1" applyFill="1" applyBorder="1" applyAlignment="1">
      <alignment horizontal="left" vertical="center" wrapText="1"/>
    </xf>
    <xf numFmtId="0" fontId="51" fillId="0" borderId="3" xfId="0" applyFont="1" applyBorder="1" applyAlignment="1">
      <alignment horizontal="left" vertical="center" wrapText="1"/>
    </xf>
    <xf numFmtId="0" fontId="0" fillId="0" borderId="3" xfId="0" applyFont="1" applyBorder="1" applyAlignment="1">
      <alignment horizontal="center" vertical="center" wrapText="1"/>
    </xf>
    <xf numFmtId="0" fontId="0" fillId="0" borderId="3" xfId="0" applyFont="1" applyBorder="1" applyAlignment="1">
      <alignment horizontal="left" vertical="center" wrapText="1"/>
    </xf>
    <xf numFmtId="0" fontId="0" fillId="5" borderId="0" xfId="0" applyFont="1" applyFill="1" applyAlignment="1">
      <alignment horizontal="center" vertical="center" wrapText="1"/>
    </xf>
    <xf numFmtId="0" fontId="8" fillId="0" borderId="0" xfId="0" applyFont="1" applyAlignment="1">
      <alignment vertical="center"/>
    </xf>
    <xf numFmtId="0" fontId="31" fillId="9" borderId="3" xfId="0" applyFont="1" applyFill="1" applyBorder="1" applyAlignment="1">
      <alignment horizontal="left" vertical="center" wrapText="1"/>
    </xf>
    <xf numFmtId="0" fontId="0" fillId="0" borderId="14" xfId="0" applyBorder="1"/>
    <xf numFmtId="0" fontId="52" fillId="0" borderId="6" xfId="0" applyFont="1" applyBorder="1"/>
    <xf numFmtId="0" fontId="0" fillId="0" borderId="6" xfId="0" applyBorder="1"/>
    <xf numFmtId="0" fontId="0" fillId="0" borderId="7" xfId="0" applyBorder="1"/>
    <xf numFmtId="0" fontId="0" fillId="0" borderId="15" xfId="0" applyBorder="1"/>
    <xf numFmtId="0" fontId="53" fillId="0" borderId="1" xfId="5" applyFont="1" applyBorder="1" applyAlignment="1">
      <alignment horizontal="left"/>
    </xf>
    <xf numFmtId="0" fontId="2" fillId="0" borderId="1" xfId="5" applyFont="1" applyBorder="1" applyAlignment="1">
      <alignment horizontal="left" wrapText="1"/>
    </xf>
    <xf numFmtId="0" fontId="2" fillId="0" borderId="1" xfId="5" applyFont="1" applyBorder="1" applyAlignment="1">
      <alignment wrapText="1"/>
    </xf>
    <xf numFmtId="0" fontId="0" fillId="0" borderId="10" xfId="0" applyBorder="1"/>
    <xf numFmtId="0" fontId="8" fillId="0" borderId="0" xfId="0" applyFont="1"/>
    <xf numFmtId="0" fontId="15" fillId="0" borderId="0" xfId="0" applyFont="1"/>
    <xf numFmtId="0" fontId="54" fillId="5" borderId="0" xfId="6" applyFont="1" applyFill="1" applyBorder="1"/>
    <xf numFmtId="0" fontId="57" fillId="0" borderId="0" xfId="6" applyFont="1" applyBorder="1"/>
    <xf numFmtId="0" fontId="46" fillId="0" borderId="0" xfId="6" applyFont="1" applyBorder="1"/>
    <xf numFmtId="0" fontId="54" fillId="0" borderId="0" xfId="0" applyFont="1"/>
    <xf numFmtId="0" fontId="57" fillId="0" borderId="0" xfId="0" applyFont="1"/>
    <xf numFmtId="3" fontId="57" fillId="0" borderId="0" xfId="0" applyNumberFormat="1" applyFont="1"/>
    <xf numFmtId="3" fontId="0" fillId="0" borderId="0" xfId="0" applyNumberFormat="1"/>
    <xf numFmtId="0" fontId="58" fillId="0" borderId="0" xfId="0" applyFont="1"/>
    <xf numFmtId="0" fontId="0" fillId="0" borderId="0" xfId="0" applyAlignment="1">
      <alignment horizontal="left" wrapText="1" indent="1"/>
    </xf>
    <xf numFmtId="0" fontId="59" fillId="0" borderId="2" xfId="6" applyFont="1" applyFill="1" applyBorder="1"/>
    <xf numFmtId="0" fontId="3" fillId="0" borderId="2" xfId="6" applyFont="1" applyFill="1" applyBorder="1"/>
    <xf numFmtId="0" fontId="3" fillId="0" borderId="2" xfId="6" applyFont="1" applyFill="1" applyBorder="1" applyAlignment="1">
      <alignment horizontal="center"/>
    </xf>
    <xf numFmtId="0" fontId="15" fillId="0" borderId="2" xfId="6" applyFont="1" applyBorder="1" applyAlignment="1">
      <alignment horizontal="center"/>
    </xf>
    <xf numFmtId="0" fontId="15" fillId="0" borderId="17" xfId="6" applyFont="1" applyBorder="1" applyAlignment="1">
      <alignment horizontal="center"/>
    </xf>
    <xf numFmtId="0" fontId="3" fillId="0" borderId="2" xfId="6" applyFont="1" applyBorder="1"/>
    <xf numFmtId="9" fontId="0" fillId="0" borderId="0" xfId="0" applyNumberFormat="1" applyAlignment="1">
      <alignment horizontal="center"/>
    </xf>
    <xf numFmtId="0" fontId="0" fillId="0" borderId="0" xfId="0" applyAlignment="1">
      <alignment horizontal="center"/>
    </xf>
    <xf numFmtId="0" fontId="0" fillId="2" borderId="0" xfId="1" applyFont="1" applyFill="1" applyAlignment="1" applyProtection="1">
      <alignment horizontal="left"/>
      <protection locked="0"/>
    </xf>
    <xf numFmtId="0" fontId="27" fillId="13" borderId="18" xfId="1" applyFont="1" applyFill="1" applyBorder="1" applyAlignment="1" applyProtection="1">
      <alignment horizontal="left"/>
      <protection locked="0"/>
    </xf>
    <xf numFmtId="166" fontId="0" fillId="2" borderId="0" xfId="1" applyNumberFormat="1" applyFont="1" applyFill="1" applyAlignment="1" applyProtection="1">
      <alignment horizontal="left"/>
      <protection locked="0"/>
    </xf>
    <xf numFmtId="166" fontId="27" fillId="13" borderId="18" xfId="1" applyNumberFormat="1" applyFont="1" applyFill="1" applyBorder="1" applyAlignment="1" applyProtection="1">
      <alignment horizontal="left"/>
      <protection locked="0"/>
    </xf>
    <xf numFmtId="0" fontId="0" fillId="0" borderId="18" xfId="0" applyBorder="1"/>
    <xf numFmtId="0" fontId="60" fillId="0" borderId="2" xfId="6" applyFont="1" applyBorder="1"/>
    <xf numFmtId="9" fontId="30" fillId="0" borderId="2" xfId="6" applyNumberFormat="1" applyFont="1" applyBorder="1" applyAlignment="1">
      <alignment horizontal="center"/>
    </xf>
    <xf numFmtId="0" fontId="3" fillId="0" borderId="2" xfId="6" applyFont="1" applyBorder="1" applyAlignment="1">
      <alignment horizontal="center"/>
    </xf>
    <xf numFmtId="0" fontId="15" fillId="0" borderId="19" xfId="6" applyFont="1" applyBorder="1"/>
    <xf numFmtId="0" fontId="61" fillId="2" borderId="0" xfId="0" applyFont="1" applyFill="1"/>
    <xf numFmtId="0" fontId="0" fillId="2" borderId="0" xfId="0" applyFill="1"/>
    <xf numFmtId="0" fontId="0" fillId="2" borderId="0" xfId="0" applyFill="1" applyAlignment="1">
      <alignment horizontal="center"/>
    </xf>
    <xf numFmtId="167" fontId="0" fillId="2" borderId="0" xfId="9" applyNumberFormat="1" applyFont="1" applyFill="1" applyProtection="1">
      <protection locked="0"/>
    </xf>
    <xf numFmtId="167" fontId="27" fillId="13" borderId="18" xfId="9" applyNumberFormat="1" applyFont="1" applyFill="1" applyBorder="1" applyProtection="1">
      <protection locked="0"/>
    </xf>
    <xf numFmtId="3" fontId="0" fillId="2" borderId="0" xfId="1" applyNumberFormat="1" applyFont="1" applyFill="1" applyProtection="1">
      <protection locked="0"/>
    </xf>
    <xf numFmtId="0" fontId="62" fillId="2" borderId="0" xfId="0" applyFont="1" applyFill="1"/>
    <xf numFmtId="3" fontId="27" fillId="13" borderId="18" xfId="1" applyNumberFormat="1" applyFont="1" applyFill="1" applyBorder="1" applyProtection="1">
      <protection locked="0"/>
    </xf>
    <xf numFmtId="3" fontId="64" fillId="2" borderId="0" xfId="1" applyNumberFormat="1" applyFont="1" applyFill="1" applyProtection="1"/>
    <xf numFmtId="0" fontId="68" fillId="4" borderId="0" xfId="0" applyFont="1" applyFill="1" applyAlignment="1">
      <alignment horizontal="left"/>
    </xf>
    <xf numFmtId="0" fontId="68" fillId="4" borderId="0" xfId="0" applyFont="1" applyFill="1"/>
    <xf numFmtId="0" fontId="0" fillId="4" borderId="0" xfId="0" applyFill="1"/>
    <xf numFmtId="0" fontId="0" fillId="4" borderId="0" xfId="0" applyFill="1" applyAlignment="1">
      <alignment horizontal="center"/>
    </xf>
    <xf numFmtId="9" fontId="69" fillId="4" borderId="0" xfId="7" applyFont="1" applyFill="1"/>
    <xf numFmtId="9" fontId="69" fillId="4" borderId="18" xfId="7" applyFont="1" applyFill="1" applyBorder="1"/>
    <xf numFmtId="3" fontId="69" fillId="4" borderId="0" xfId="8" applyNumberFormat="1" applyFont="1" applyFill="1" applyProtection="1"/>
    <xf numFmtId="3" fontId="69" fillId="4" borderId="18" xfId="8" applyNumberFormat="1" applyFont="1" applyFill="1" applyBorder="1" applyProtection="1"/>
    <xf numFmtId="168" fontId="69" fillId="4" borderId="0" xfId="7" applyNumberFormat="1" applyFont="1" applyFill="1"/>
    <xf numFmtId="0" fontId="15" fillId="4" borderId="0" xfId="0" applyFont="1" applyFill="1" applyAlignment="1">
      <alignment horizontal="center"/>
    </xf>
    <xf numFmtId="3" fontId="69" fillId="4" borderId="0" xfId="8" applyNumberFormat="1" applyFont="1" applyFill="1" applyAlignment="1" applyProtection="1">
      <alignment horizontal="right"/>
    </xf>
    <xf numFmtId="3" fontId="69" fillId="4" borderId="18" xfId="8" applyNumberFormat="1" applyFont="1" applyFill="1" applyBorder="1" applyAlignment="1" applyProtection="1">
      <alignment horizontal="right"/>
    </xf>
    <xf numFmtId="169" fontId="69" fillId="4" borderId="0" xfId="8" applyNumberFormat="1" applyFont="1" applyFill="1" applyAlignment="1" applyProtection="1">
      <alignment horizontal="right"/>
    </xf>
    <xf numFmtId="169" fontId="69" fillId="4" borderId="18" xfId="8" applyNumberFormat="1" applyFont="1" applyFill="1" applyBorder="1" applyAlignment="1" applyProtection="1">
      <alignment horizontal="right"/>
    </xf>
    <xf numFmtId="168" fontId="0" fillId="2" borderId="0" xfId="1" applyNumberFormat="1" applyFont="1" applyFill="1" applyProtection="1">
      <protection locked="0"/>
    </xf>
    <xf numFmtId="10" fontId="27" fillId="13" borderId="18" xfId="1" applyNumberFormat="1" applyFont="1" applyFill="1" applyBorder="1" applyProtection="1">
      <protection locked="0"/>
    </xf>
    <xf numFmtId="10" fontId="0" fillId="2" borderId="0" xfId="1" applyNumberFormat="1" applyFont="1" applyFill="1" applyProtection="1">
      <protection locked="0"/>
    </xf>
    <xf numFmtId="170" fontId="69" fillId="4" borderId="0" xfId="3" applyNumberFormat="1" applyFont="1" applyFill="1" applyProtection="1">
      <protection locked="0"/>
    </xf>
    <xf numFmtId="170" fontId="69" fillId="4" borderId="18" xfId="3" applyNumberFormat="1" applyFont="1" applyFill="1" applyBorder="1" applyProtection="1">
      <protection locked="0"/>
    </xf>
    <xf numFmtId="0" fontId="73" fillId="4" borderId="0" xfId="0" applyFont="1" applyFill="1"/>
    <xf numFmtId="164" fontId="69" fillId="4" borderId="0" xfId="9" applyFont="1" applyFill="1" applyProtection="1">
      <protection locked="0"/>
    </xf>
    <xf numFmtId="164" fontId="69" fillId="4" borderId="18" xfId="9" applyFont="1" applyFill="1" applyBorder="1" applyProtection="1">
      <protection locked="0"/>
    </xf>
    <xf numFmtId="172" fontId="69" fillId="4" borderId="0" xfId="9" applyNumberFormat="1" applyFont="1" applyFill="1" applyProtection="1">
      <protection locked="0"/>
    </xf>
    <xf numFmtId="0" fontId="14" fillId="14" borderId="0" xfId="0" applyFont="1" applyFill="1"/>
    <xf numFmtId="0" fontId="27" fillId="14" borderId="0" xfId="0" applyFont="1" applyFill="1"/>
    <xf numFmtId="0" fontId="27" fillId="14" borderId="0" xfId="0" applyFont="1" applyFill="1" applyAlignment="1">
      <alignment horizontal="center"/>
    </xf>
    <xf numFmtId="171" fontId="14" fillId="14" borderId="0" xfId="9" applyNumberFormat="1" applyFont="1" applyFill="1" applyAlignment="1">
      <alignment horizontal="right"/>
    </xf>
    <xf numFmtId="171" fontId="74" fillId="10" borderId="0" xfId="9" applyNumberFormat="1" applyFont="1" applyFill="1" applyAlignment="1">
      <alignment horizontal="right"/>
    </xf>
    <xf numFmtId="0" fontId="6" fillId="15" borderId="0" xfId="0" applyFont="1" applyFill="1"/>
    <xf numFmtId="0" fontId="0" fillId="15" borderId="0" xfId="0" applyFill="1"/>
    <xf numFmtId="0" fontId="0" fillId="15" borderId="0" xfId="0" applyFill="1" applyAlignment="1">
      <alignment horizontal="center"/>
    </xf>
    <xf numFmtId="1" fontId="15" fillId="15" borderId="0" xfId="0" applyNumberFormat="1" applyFont="1" applyFill="1" applyAlignment="1">
      <alignment horizontal="center"/>
    </xf>
    <xf numFmtId="0" fontId="60" fillId="0" borderId="2" xfId="6" applyFont="1" applyFill="1" applyBorder="1"/>
    <xf numFmtId="9" fontId="75" fillId="0" borderId="2" xfId="6" applyNumberFormat="1" applyFont="1" applyFill="1" applyBorder="1" applyAlignment="1" applyProtection="1">
      <alignment horizontal="center"/>
      <protection locked="0"/>
    </xf>
    <xf numFmtId="0" fontId="0" fillId="0" borderId="0" xfId="0" applyAlignment="1" applyProtection="1">
      <alignment horizontal="center"/>
      <protection locked="0"/>
    </xf>
    <xf numFmtId="0" fontId="0" fillId="3" borderId="0" xfId="2" applyFont="1" applyFill="1" applyAlignment="1" applyProtection="1">
      <alignment horizontal="center"/>
      <protection locked="0"/>
    </xf>
    <xf numFmtId="0" fontId="14" fillId="13" borderId="18" xfId="3" applyNumberFormat="1" applyFont="1" applyFill="1" applyBorder="1" applyAlignment="1" applyProtection="1">
      <alignment horizontal="center"/>
      <protection locked="0"/>
    </xf>
    <xf numFmtId="0" fontId="15" fillId="0" borderId="0" xfId="0" applyFont="1" applyAlignment="1">
      <alignment wrapText="1"/>
    </xf>
    <xf numFmtId="3" fontId="4" fillId="4" borderId="0" xfId="8" applyNumberFormat="1" applyFont="1" applyFill="1" applyAlignment="1" applyProtection="1">
      <alignment horizontal="center"/>
    </xf>
    <xf numFmtId="3" fontId="4" fillId="4" borderId="18" xfId="8" applyNumberFormat="1" applyFont="1" applyFill="1" applyBorder="1" applyAlignment="1" applyProtection="1"/>
    <xf numFmtId="0" fontId="0" fillId="15" borderId="0" xfId="0" applyFill="1" applyAlignment="1" applyProtection="1">
      <alignment horizontal="center"/>
      <protection locked="0"/>
    </xf>
    <xf numFmtId="3" fontId="77" fillId="15" borderId="20" xfId="8" applyNumberFormat="1" applyFont="1" applyFill="1" applyBorder="1" applyAlignment="1" applyProtection="1">
      <alignment horizontal="center"/>
    </xf>
    <xf numFmtId="3" fontId="77" fillId="15" borderId="18" xfId="8" applyNumberFormat="1" applyFont="1" applyFill="1" applyBorder="1" applyAlignment="1" applyProtection="1">
      <alignment horizontal="center"/>
    </xf>
    <xf numFmtId="3" fontId="15" fillId="15" borderId="0" xfId="2" applyNumberFormat="1" applyFont="1" applyFill="1" applyAlignment="1" applyProtection="1">
      <alignment horizontal="center" vertical="center"/>
      <protection locked="0"/>
    </xf>
    <xf numFmtId="0" fontId="3" fillId="0" borderId="2" xfId="6" applyFont="1" applyFill="1" applyBorder="1" applyProtection="1">
      <protection locked="0"/>
    </xf>
    <xf numFmtId="0" fontId="27" fillId="13" borderId="18" xfId="2" applyFont="1" applyFill="1" applyBorder="1" applyAlignment="1" applyProtection="1">
      <alignment horizontal="center"/>
      <protection locked="0"/>
    </xf>
    <xf numFmtId="3" fontId="77" fillId="15" borderId="0" xfId="8" applyNumberFormat="1" applyFont="1" applyFill="1" applyAlignment="1" applyProtection="1">
      <alignment horizontal="center"/>
    </xf>
    <xf numFmtId="0" fontId="0" fillId="0" borderId="0" xfId="2" applyFont="1" applyFill="1" applyAlignment="1" applyProtection="1">
      <alignment horizontal="left"/>
      <protection locked="0"/>
    </xf>
    <xf numFmtId="0" fontId="0" fillId="0" borderId="0" xfId="0" applyProtection="1">
      <protection locked="0"/>
    </xf>
    <xf numFmtId="0" fontId="0" fillId="0" borderId="15" xfId="0" applyBorder="1" applyProtection="1">
      <protection locked="0"/>
    </xf>
    <xf numFmtId="0" fontId="0" fillId="0" borderId="10" xfId="0" applyBorder="1" applyProtection="1">
      <protection locked="0"/>
    </xf>
    <xf numFmtId="0" fontId="59" fillId="0" borderId="2" xfId="6" applyFont="1" applyFill="1" applyBorder="1" applyProtection="1">
      <protection locked="0"/>
    </xf>
    <xf numFmtId="0" fontId="3" fillId="0" borderId="2" xfId="6" applyFont="1" applyFill="1" applyBorder="1" applyAlignment="1" applyProtection="1">
      <alignment horizontal="center"/>
      <protection locked="0"/>
    </xf>
    <xf numFmtId="0" fontId="3" fillId="0" borderId="2" xfId="6" applyFont="1" applyBorder="1" applyProtection="1">
      <protection locked="0"/>
    </xf>
    <xf numFmtId="0" fontId="0" fillId="0" borderId="0" xfId="0" applyAlignment="1" applyProtection="1">
      <alignment wrapText="1"/>
      <protection locked="0"/>
    </xf>
    <xf numFmtId="0" fontId="6" fillId="15" borderId="0" xfId="0" applyFont="1" applyFill="1" applyProtection="1">
      <protection locked="0"/>
    </xf>
    <xf numFmtId="0" fontId="0" fillId="15" borderId="0" xfId="0" applyFill="1" applyProtection="1">
      <protection locked="0"/>
    </xf>
    <xf numFmtId="3" fontId="77" fillId="15" borderId="0" xfId="8" applyNumberFormat="1" applyFont="1" applyFill="1" applyAlignment="1" applyProtection="1">
      <alignment horizontal="center"/>
      <protection locked="0"/>
    </xf>
    <xf numFmtId="0" fontId="14" fillId="16" borderId="21" xfId="6" applyFont="1" applyFill="1" applyBorder="1"/>
    <xf numFmtId="0" fontId="14" fillId="16" borderId="22" xfId="6" applyFont="1" applyFill="1" applyBorder="1"/>
    <xf numFmtId="0" fontId="14" fillId="16" borderId="22" xfId="6" applyFont="1" applyFill="1" applyBorder="1" applyAlignment="1">
      <alignment horizontal="center"/>
    </xf>
    <xf numFmtId="0" fontId="14" fillId="16" borderId="17" xfId="6" applyFont="1" applyFill="1" applyBorder="1" applyAlignment="1">
      <alignment horizontal="center"/>
    </xf>
    <xf numFmtId="0" fontId="3" fillId="0" borderId="23" xfId="6" applyFont="1" applyBorder="1" applyAlignment="1">
      <alignment horizontal="center"/>
    </xf>
    <xf numFmtId="0" fontId="3" fillId="0" borderId="24" xfId="6" applyFont="1" applyBorder="1"/>
    <xf numFmtId="0" fontId="3" fillId="0" borderId="0" xfId="6" applyFont="1" applyBorder="1"/>
    <xf numFmtId="0" fontId="3" fillId="0" borderId="0" xfId="6" applyFont="1" applyBorder="1" applyAlignment="1">
      <alignment horizontal="center"/>
    </xf>
    <xf numFmtId="0" fontId="15" fillId="0" borderId="0" xfId="6" applyFont="1" applyBorder="1" applyAlignment="1">
      <alignment horizontal="center"/>
    </xf>
    <xf numFmtId="0" fontId="15" fillId="0" borderId="18" xfId="6" applyFont="1" applyBorder="1" applyAlignment="1">
      <alignment horizontal="center"/>
    </xf>
    <xf numFmtId="0" fontId="3" fillId="0" borderId="20" xfId="6" applyFont="1" applyBorder="1"/>
    <xf numFmtId="0" fontId="15" fillId="0" borderId="24" xfId="0" applyFont="1" applyBorder="1"/>
    <xf numFmtId="1" fontId="4" fillId="4" borderId="0" xfId="8" applyNumberFormat="1" applyFont="1" applyFill="1" applyAlignment="1" applyProtection="1">
      <alignment horizontal="center"/>
    </xf>
    <xf numFmtId="1" fontId="78" fillId="2" borderId="18" xfId="8" applyNumberFormat="1" applyFont="1" applyFill="1" applyBorder="1" applyAlignment="1" applyProtection="1">
      <alignment horizontal="center"/>
    </xf>
    <xf numFmtId="9" fontId="69" fillId="0" borderId="20" xfId="7" applyFont="1" applyBorder="1" applyAlignment="1">
      <alignment horizontal="center"/>
    </xf>
    <xf numFmtId="165" fontId="0" fillId="0" borderId="0" xfId="0" applyNumberFormat="1" applyAlignment="1">
      <alignment horizontal="left"/>
    </xf>
    <xf numFmtId="0" fontId="0" fillId="0" borderId="0" xfId="0" applyFont="1"/>
    <xf numFmtId="0" fontId="0" fillId="0" borderId="0" xfId="0" applyFont="1" applyAlignment="1">
      <alignment horizontal="center"/>
    </xf>
    <xf numFmtId="1" fontId="0" fillId="4" borderId="0" xfId="8" applyNumberFormat="1" applyFont="1" applyFill="1" applyAlignment="1" applyProtection="1">
      <alignment horizontal="center"/>
    </xf>
    <xf numFmtId="1" fontId="79" fillId="4" borderId="0" xfId="8" applyNumberFormat="1" applyFont="1" applyFill="1" applyAlignment="1" applyProtection="1">
      <alignment horizontal="center"/>
    </xf>
    <xf numFmtId="165" fontId="80" fillId="0" borderId="0" xfId="0" applyNumberFormat="1" applyFont="1" applyAlignment="1">
      <alignment horizontal="left"/>
    </xf>
    <xf numFmtId="9" fontId="69" fillId="0" borderId="25" xfId="7" applyFont="1" applyBorder="1" applyAlignment="1">
      <alignment horizontal="center"/>
    </xf>
    <xf numFmtId="0" fontId="15" fillId="15" borderId="26" xfId="0" applyFont="1" applyFill="1" applyBorder="1"/>
    <xf numFmtId="0" fontId="15" fillId="15" borderId="27" xfId="0" applyFont="1" applyFill="1" applyBorder="1"/>
    <xf numFmtId="0" fontId="15" fillId="15" borderId="27" xfId="0" applyFont="1" applyFill="1" applyBorder="1" applyAlignment="1">
      <alignment horizontal="center"/>
    </xf>
    <xf numFmtId="1" fontId="77" fillId="15" borderId="27" xfId="8" applyNumberFormat="1" applyFont="1" applyFill="1" applyBorder="1" applyAlignment="1" applyProtection="1">
      <alignment horizontal="center"/>
    </xf>
    <xf numFmtId="1" fontId="77" fillId="15" borderId="28" xfId="8" applyNumberFormat="1" applyFont="1" applyFill="1" applyBorder="1" applyAlignment="1" applyProtection="1">
      <alignment horizontal="center"/>
    </xf>
    <xf numFmtId="1" fontId="4" fillId="15" borderId="27" xfId="8" applyNumberFormat="1" applyFont="1" applyFill="1" applyBorder="1" applyAlignment="1" applyProtection="1">
      <alignment horizontal="center"/>
    </xf>
    <xf numFmtId="9" fontId="81" fillId="0" borderId="29" xfId="7" applyFont="1" applyBorder="1" applyAlignment="1">
      <alignment horizontal="center"/>
    </xf>
    <xf numFmtId="165" fontId="15" fillId="0" borderId="0" xfId="0" applyNumberFormat="1" applyFont="1" applyAlignment="1">
      <alignment horizontal="left"/>
    </xf>
    <xf numFmtId="0" fontId="0" fillId="0" borderId="16" xfId="0" applyBorder="1"/>
    <xf numFmtId="0" fontId="0" fillId="0" borderId="12" xfId="0" applyBorder="1"/>
    <xf numFmtId="0" fontId="0" fillId="0" borderId="12" xfId="0" applyBorder="1" applyAlignment="1">
      <alignment horizontal="center"/>
    </xf>
    <xf numFmtId="0" fontId="0" fillId="0" borderId="13" xfId="0" applyBorder="1"/>
    <xf numFmtId="0" fontId="15" fillId="0" borderId="5" xfId="0" applyFont="1" applyBorder="1"/>
    <xf numFmtId="0" fontId="0" fillId="0" borderId="9" xfId="0" applyBorder="1"/>
    <xf numFmtId="0" fontId="0" fillId="0" borderId="11" xfId="0" applyBorder="1"/>
    <xf numFmtId="0" fontId="82" fillId="5" borderId="0" xfId="0" applyFont="1" applyFill="1"/>
    <xf numFmtId="0" fontId="82" fillId="5" borderId="0" xfId="0" applyFont="1" applyFill="1" applyProtection="1">
      <protection locked="0"/>
    </xf>
    <xf numFmtId="0" fontId="0" fillId="5" borderId="0" xfId="0" applyFill="1" applyProtection="1">
      <protection locked="0"/>
    </xf>
    <xf numFmtId="0" fontId="13" fillId="5" borderId="0" xfId="0" applyFont="1" applyFill="1" applyAlignment="1" applyProtection="1">
      <alignment vertical="top"/>
      <protection locked="0"/>
    </xf>
    <xf numFmtId="0" fontId="83" fillId="6" borderId="30" xfId="0" applyFont="1" applyFill="1" applyBorder="1" applyProtection="1">
      <protection locked="0"/>
    </xf>
    <xf numFmtId="0" fontId="83" fillId="6" borderId="31" xfId="0" applyFont="1" applyFill="1" applyBorder="1" applyProtection="1">
      <protection locked="0"/>
    </xf>
    <xf numFmtId="0" fontId="83" fillId="6" borderId="32" xfId="0" applyFont="1" applyFill="1" applyBorder="1" applyProtection="1">
      <protection locked="0"/>
    </xf>
    <xf numFmtId="0" fontId="15" fillId="9" borderId="31" xfId="0" applyFont="1" applyFill="1" applyBorder="1" applyAlignment="1" applyProtection="1">
      <alignment horizontal="center" vertical="center"/>
      <protection locked="0"/>
    </xf>
    <xf numFmtId="0" fontId="15" fillId="0" borderId="0" xfId="0" applyFont="1" applyProtection="1">
      <protection locked="0"/>
    </xf>
    <xf numFmtId="0" fontId="15" fillId="0" borderId="31" xfId="0" applyFont="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cellXfs>
  <cellStyles count="10">
    <cellStyle name="Invoer 2" xfId="1"/>
    <cellStyle name="Invoer keuzelijst" xfId="2"/>
    <cellStyle name="Komma" xfId="3"/>
    <cellStyle name="Komma 2" xfId="4"/>
    <cellStyle name="Kop 1" xfId="5"/>
    <cellStyle name="Kop 3" xfId="6"/>
    <cellStyle name="Normal" xfId="0" builtinId="0" customBuiltin="1"/>
    <cellStyle name="Procent" xfId="7"/>
    <cellStyle name="Uitvoer 2" xfId="8"/>
    <cellStyle name="Valuta"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1" name="Tabel3" displayName="Tabel3" ref="A8:H65" headerRowCount="0" totalsRowShown="0">
  <tableColumns count="8">
    <tableColumn id="1" name="Column1"/>
    <tableColumn id="2" name="Column2"/>
    <tableColumn id="3" name="Column3"/>
    <tableColumn id="4" name="Column4"/>
    <tableColumn id="5" name="Column5"/>
    <tableColumn id="6" name="Column6"/>
    <tableColumn id="7" name="Column7"/>
    <tableColumn id="8" name="Column8"/>
  </tableColumns>
  <tableStyleInfo showFirstColumn="0" showLastColumn="0" showRowStripes="1" showColumnStripes="0"/>
</table>
</file>

<file path=xl/tables/table2.xml><?xml version="1.0" encoding="utf-8"?>
<table xmlns="http://schemas.openxmlformats.org/spreadsheetml/2006/main" id="2" name="Tabel1" displayName="Tabel1" ref="B6:D20" headerRowCount="0" totalsRowShown="0">
  <tableColumns count="3">
    <tableColumn id="1" name="Column1"/>
    <tableColumn id="2" name="Column2"/>
    <tableColumn id="3" name="Column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ColWidth="10.6640625" defaultRowHeight="14.5" x14ac:dyDescent="0.2"/>
  <cols>
    <col min="1" max="1" width="112.5" customWidth="1"/>
    <col min="2" max="2" width="10.6640625" customWidth="1"/>
  </cols>
  <sheetData>
    <row r="1" spans="1:1" ht="80" x14ac:dyDescent="0.2">
      <c r="A1" s="1" t="s">
        <v>0</v>
      </c>
    </row>
  </sheetData>
  <pageMargins left="0.7" right="0.7" top="0.75" bottom="0.75" header="0.3" footer="0.3"/>
  <headerFooter>
    <oddFooter>&amp;L
&amp;1#&amp;10 Intern gebruik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48"/>
  <sheetViews>
    <sheetView workbookViewId="0"/>
  </sheetViews>
  <sheetFormatPr baseColWidth="10" defaultRowHeight="0" customHeight="1" zeroHeight="1" outlineLevelRow="4" x14ac:dyDescent="0.2"/>
  <cols>
    <col min="1" max="1" width="1" customWidth="1"/>
    <col min="2" max="2" width="2.1640625" customWidth="1"/>
    <col min="3" max="3" width="77.5" customWidth="1"/>
    <col min="4" max="4" width="16.33203125" customWidth="1"/>
    <col min="5" max="5" width="9.33203125" customWidth="1"/>
    <col min="6" max="6" width="12.1640625" customWidth="1"/>
    <col min="7" max="7" width="11" customWidth="1"/>
    <col min="8" max="8" width="18.33203125" customWidth="1"/>
    <col min="9" max="9" width="17.6640625" customWidth="1"/>
    <col min="10" max="12" width="20.33203125" customWidth="1"/>
    <col min="13" max="13" width="15.1640625" customWidth="1"/>
    <col min="14" max="14" width="17.6640625" customWidth="1"/>
    <col min="15" max="15" width="156.6640625" customWidth="1"/>
    <col min="16" max="17" width="1" customWidth="1"/>
    <col min="18" max="24" width="0" hidden="1" customWidth="1"/>
    <col min="25" max="16383" width="10.83203125" hidden="1" customWidth="1"/>
    <col min="16384" max="16384" width="30.5" customWidth="1"/>
  </cols>
  <sheetData>
    <row r="1" spans="2:16" ht="6" customHeight="1" x14ac:dyDescent="0.2"/>
    <row r="2" spans="2:16" ht="21" x14ac:dyDescent="0.25">
      <c r="B2" s="218"/>
      <c r="C2" s="219" t="s">
        <v>376</v>
      </c>
      <c r="D2" s="220"/>
      <c r="E2" s="220"/>
      <c r="F2" s="220"/>
      <c r="G2" s="220"/>
      <c r="H2" s="220"/>
      <c r="I2" s="220"/>
      <c r="J2" s="220"/>
      <c r="K2" s="220"/>
      <c r="L2" s="220"/>
      <c r="M2" s="220"/>
      <c r="N2" s="220"/>
      <c r="O2" s="220"/>
      <c r="P2" s="221"/>
    </row>
    <row r="3" spans="2:16" ht="14" customHeight="1" thickBot="1" x14ac:dyDescent="0.3">
      <c r="B3" s="222"/>
      <c r="C3" s="223" t="str">
        <f>'1__Eisen_-_Algemeen'!A3</f>
        <v>Versie 1.1 - Juli 2024</v>
      </c>
      <c r="D3" s="223" t="s">
        <v>7</v>
      </c>
      <c r="E3" s="224"/>
      <c r="F3" s="224"/>
      <c r="G3" s="224"/>
      <c r="H3" s="224"/>
      <c r="I3" s="225"/>
      <c r="J3" s="225"/>
      <c r="K3" s="225"/>
      <c r="L3" s="225"/>
      <c r="M3" s="225"/>
      <c r="N3" s="225"/>
      <c r="O3" s="225"/>
      <c r="P3" s="226"/>
    </row>
    <row r="4" spans="2:16" ht="3" customHeight="1" thickTop="1" x14ac:dyDescent="0.2">
      <c r="B4" s="222"/>
      <c r="C4" s="227"/>
      <c r="D4" s="227"/>
      <c r="H4" s="228"/>
      <c r="I4" s="228"/>
      <c r="J4" s="228"/>
      <c r="K4" s="228"/>
      <c r="L4" s="228"/>
      <c r="M4" s="228"/>
      <c r="N4" s="228"/>
      <c r="O4" s="228"/>
      <c r="P4" s="226"/>
    </row>
    <row r="5" spans="2:16" ht="15" customHeight="1" x14ac:dyDescent="0.2">
      <c r="B5" s="222"/>
      <c r="C5" s="229" t="s">
        <v>377</v>
      </c>
      <c r="D5" s="230"/>
      <c r="E5" s="230"/>
      <c r="F5" s="230"/>
      <c r="G5" s="230"/>
      <c r="H5" s="231"/>
      <c r="I5" s="231"/>
      <c r="J5" s="8"/>
      <c r="P5" s="226"/>
    </row>
    <row r="6" spans="2:16" ht="15" customHeight="1" x14ac:dyDescent="0.2">
      <c r="B6" s="222"/>
      <c r="C6" s="232" t="s">
        <v>378</v>
      </c>
      <c r="D6" s="233"/>
      <c r="E6" s="233"/>
      <c r="F6" s="233"/>
      <c r="G6" s="233"/>
      <c r="H6" s="234"/>
      <c r="I6" s="233"/>
      <c r="J6" s="14"/>
      <c r="P6" s="226"/>
    </row>
    <row r="7" spans="2:16" ht="15" customHeight="1" x14ac:dyDescent="0.2">
      <c r="B7" s="222"/>
      <c r="C7" s="232" t="s">
        <v>379</v>
      </c>
      <c r="D7" s="233"/>
      <c r="E7" s="233"/>
      <c r="F7" s="233"/>
      <c r="G7" s="233"/>
      <c r="H7" s="234"/>
      <c r="I7" s="233"/>
      <c r="K7" s="235"/>
      <c r="L7" s="235"/>
      <c r="P7" s="226"/>
    </row>
    <row r="8" spans="2:16" ht="4" customHeight="1" x14ac:dyDescent="0.2">
      <c r="B8" s="222"/>
      <c r="C8" s="236"/>
      <c r="D8" s="233"/>
      <c r="E8" s="233"/>
      <c r="F8" s="233"/>
      <c r="G8" s="233"/>
      <c r="H8" s="234"/>
      <c r="I8" s="233"/>
      <c r="K8" s="235"/>
      <c r="L8" s="235"/>
      <c r="P8" s="226"/>
    </row>
    <row r="9" spans="2:16" ht="4" customHeight="1" x14ac:dyDescent="0.2">
      <c r="B9" s="222"/>
      <c r="C9" s="237"/>
      <c r="D9" s="237"/>
      <c r="E9" s="237"/>
      <c r="F9" s="237"/>
      <c r="G9" s="237"/>
      <c r="P9" s="226"/>
    </row>
    <row r="10" spans="2:16" ht="5" customHeight="1" thickBot="1" x14ac:dyDescent="0.25">
      <c r="B10" s="222"/>
      <c r="P10" s="226"/>
    </row>
    <row r="11" spans="2:16" ht="15" customHeight="1" thickBot="1" x14ac:dyDescent="0.25">
      <c r="B11" s="222"/>
      <c r="C11" s="238" t="s">
        <v>380</v>
      </c>
      <c r="D11" s="239" t="s">
        <v>381</v>
      </c>
      <c r="E11" s="240" t="s">
        <v>382</v>
      </c>
      <c r="F11" s="240" t="s">
        <v>383</v>
      </c>
      <c r="G11" s="240" t="s">
        <v>384</v>
      </c>
      <c r="H11" s="241" t="s">
        <v>385</v>
      </c>
      <c r="I11" s="242" t="s">
        <v>386</v>
      </c>
      <c r="J11" s="241" t="s">
        <v>387</v>
      </c>
      <c r="K11" s="241" t="s">
        <v>388</v>
      </c>
      <c r="L11" s="241" t="s">
        <v>389</v>
      </c>
      <c r="N11" s="243" t="s">
        <v>390</v>
      </c>
      <c r="O11" s="243" t="s">
        <v>391</v>
      </c>
      <c r="P11" s="226"/>
    </row>
    <row r="12" spans="2:16" ht="15" customHeight="1" x14ac:dyDescent="0.2">
      <c r="B12" s="222"/>
      <c r="C12" s="228" t="s">
        <v>392</v>
      </c>
      <c r="F12" s="244"/>
      <c r="G12" s="245"/>
      <c r="H12" s="246" t="s">
        <v>393</v>
      </c>
      <c r="I12" s="247"/>
      <c r="J12" s="246"/>
      <c r="K12" s="246"/>
      <c r="L12" s="246"/>
      <c r="P12" s="226"/>
    </row>
    <row r="13" spans="2:16" ht="15" customHeight="1" x14ac:dyDescent="0.2">
      <c r="B13" s="222"/>
      <c r="C13" t="s">
        <v>394</v>
      </c>
      <c r="F13" s="245"/>
      <c r="G13" s="245"/>
      <c r="H13" s="248">
        <v>45355</v>
      </c>
      <c r="I13" s="249"/>
      <c r="J13" s="248"/>
      <c r="K13" s="248"/>
      <c r="L13" s="248"/>
      <c r="P13" s="226"/>
    </row>
    <row r="14" spans="2:16" ht="15" customHeight="1" x14ac:dyDescent="0.2">
      <c r="B14" s="222"/>
      <c r="F14" s="245"/>
      <c r="G14" s="245"/>
      <c r="I14" s="250"/>
      <c r="P14" s="226"/>
    </row>
    <row r="15" spans="2:16" ht="15" customHeight="1" x14ac:dyDescent="0.2">
      <c r="B15" s="222"/>
      <c r="F15" s="245"/>
      <c r="G15" s="245"/>
      <c r="I15" s="250"/>
      <c r="P15" s="226"/>
    </row>
    <row r="16" spans="2:16" ht="15" customHeight="1" thickBot="1" x14ac:dyDescent="0.3">
      <c r="B16" s="222"/>
      <c r="C16" s="251" t="s">
        <v>395</v>
      </c>
      <c r="D16" s="243" t="s">
        <v>381</v>
      </c>
      <c r="E16" s="243"/>
      <c r="F16" s="252">
        <f>1-F37-F45-F51-F57-F62</f>
        <v>0.60000000000000009</v>
      </c>
      <c r="G16" s="253">
        <f>F16*100</f>
        <v>60.000000000000007</v>
      </c>
      <c r="H16" s="241" t="str">
        <f>H11</f>
        <v>Voorbeeld</v>
      </c>
      <c r="I16" s="254" t="str">
        <f>I11</f>
        <v>Uw aanbieding</v>
      </c>
      <c r="J16" s="241" t="str">
        <f>J11</f>
        <v>Inschrijver A</v>
      </c>
      <c r="K16" s="241" t="str">
        <f>K11</f>
        <v>Inschrijver B</v>
      </c>
      <c r="L16" s="241" t="str">
        <f>L11</f>
        <v>Inschrijver C</v>
      </c>
      <c r="M16" s="243"/>
      <c r="N16" s="243" t="s">
        <v>390</v>
      </c>
      <c r="O16" s="243" t="s">
        <v>391</v>
      </c>
      <c r="P16" s="226"/>
    </row>
    <row r="17" spans="2:16" ht="15" customHeight="1" x14ac:dyDescent="0.2">
      <c r="B17" s="222"/>
      <c r="C17" s="255" t="s">
        <v>396</v>
      </c>
      <c r="D17" s="256" t="s">
        <v>397</v>
      </c>
      <c r="E17" s="257"/>
      <c r="F17" s="257"/>
      <c r="G17" s="257"/>
      <c r="H17" s="258">
        <v>1000000</v>
      </c>
      <c r="I17" s="259"/>
      <c r="J17" s="260"/>
      <c r="K17" s="260"/>
      <c r="L17" s="260"/>
      <c r="P17" s="226"/>
    </row>
    <row r="18" spans="2:16" ht="15" customHeight="1" x14ac:dyDescent="0.25">
      <c r="B18" s="222"/>
      <c r="C18" s="261" t="s">
        <v>398</v>
      </c>
      <c r="D18" s="256" t="s">
        <v>399</v>
      </c>
      <c r="E18" s="257" t="s">
        <v>400</v>
      </c>
      <c r="F18" s="257"/>
      <c r="G18" s="257"/>
      <c r="H18" s="260">
        <v>1000</v>
      </c>
      <c r="I18" s="262"/>
      <c r="J18" s="260"/>
      <c r="K18" s="260"/>
      <c r="L18" s="260"/>
      <c r="O18" t="s">
        <v>401</v>
      </c>
      <c r="P18" s="226"/>
    </row>
    <row r="19" spans="2:16" ht="15" customHeight="1" x14ac:dyDescent="0.25">
      <c r="B19" s="222"/>
      <c r="C19" s="261" t="s">
        <v>402</v>
      </c>
      <c r="D19" s="256" t="s">
        <v>399</v>
      </c>
      <c r="E19" s="257" t="s">
        <v>403</v>
      </c>
      <c r="F19" s="257"/>
      <c r="G19" s="263"/>
      <c r="H19" s="260">
        <v>650</v>
      </c>
      <c r="I19" s="262"/>
      <c r="J19" s="260"/>
      <c r="K19" s="260"/>
      <c r="L19" s="260"/>
      <c r="O19" t="s">
        <v>404</v>
      </c>
      <c r="P19" s="226"/>
    </row>
    <row r="20" spans="2:16" ht="15" customHeight="1" x14ac:dyDescent="0.25">
      <c r="B20" s="222"/>
      <c r="C20" s="261" t="s">
        <v>405</v>
      </c>
      <c r="D20" s="256" t="s">
        <v>406</v>
      </c>
      <c r="E20" s="257"/>
      <c r="F20" s="257"/>
      <c r="G20" s="257"/>
      <c r="H20" s="260">
        <v>1030</v>
      </c>
      <c r="I20" s="262"/>
      <c r="J20" s="260"/>
      <c r="K20" s="260"/>
      <c r="L20" s="260"/>
      <c r="O20" t="s">
        <v>407</v>
      </c>
      <c r="P20" s="226"/>
    </row>
    <row r="21" spans="2:16" ht="15" customHeight="1" x14ac:dyDescent="0.25">
      <c r="B21" s="222"/>
      <c r="C21" s="261" t="s">
        <v>408</v>
      </c>
      <c r="D21" s="256" t="s">
        <v>409</v>
      </c>
      <c r="E21" s="257" t="s">
        <v>410</v>
      </c>
      <c r="F21" s="257"/>
      <c r="G21" s="257"/>
      <c r="H21" s="260">
        <v>950000</v>
      </c>
      <c r="I21" s="262"/>
      <c r="J21" s="260"/>
      <c r="K21" s="260"/>
      <c r="L21" s="260"/>
      <c r="O21" t="s">
        <v>411</v>
      </c>
      <c r="P21" s="226"/>
    </row>
    <row r="22" spans="2:16" ht="15" hidden="1" outlineLevel="4" x14ac:dyDescent="0.2">
      <c r="B22" s="222"/>
      <c r="C22" s="264" t="s">
        <v>412</v>
      </c>
      <c r="D22" s="265" t="s">
        <v>413</v>
      </c>
      <c r="E22" s="266"/>
      <c r="F22" s="267"/>
      <c r="G22" s="267"/>
      <c r="H22" s="268">
        <f>IFERROR(H19/H18, "")</f>
        <v>0.65</v>
      </c>
      <c r="I22" s="269" t="str">
        <f>IFERROR(I19/I18, "")</f>
        <v/>
      </c>
      <c r="J22" s="268" t="str">
        <f>IFERROR(J19/J18, "")</f>
        <v/>
      </c>
      <c r="K22" s="268" t="str">
        <f>IFERROR(K19/K18, "")</f>
        <v/>
      </c>
      <c r="L22" s="268" t="str">
        <f>IFERROR(L19/L18, "")</f>
        <v/>
      </c>
      <c r="P22" s="226"/>
    </row>
    <row r="23" spans="2:16" ht="17" hidden="1" outlineLevel="4" x14ac:dyDescent="0.25">
      <c r="B23" s="222"/>
      <c r="C23" s="264" t="s">
        <v>414</v>
      </c>
      <c r="D23" s="265" t="s">
        <v>415</v>
      </c>
      <c r="E23" s="266"/>
      <c r="F23" s="267"/>
      <c r="G23" s="267"/>
      <c r="H23" s="270">
        <f>IFERROR(H21/H18,"")</f>
        <v>950</v>
      </c>
      <c r="I23" s="271" t="str">
        <f>IFERROR(I21/I18,"")</f>
        <v/>
      </c>
      <c r="J23" s="270" t="str">
        <f>IFERROR(J21/J18,"")</f>
        <v/>
      </c>
      <c r="K23" s="270" t="str">
        <f>IFERROR(K21/K18,"")</f>
        <v/>
      </c>
      <c r="L23" s="270" t="str">
        <f>IFERROR(L21/L18,"")</f>
        <v/>
      </c>
      <c r="O23" t="s">
        <v>416</v>
      </c>
      <c r="P23" s="226"/>
    </row>
    <row r="24" spans="2:16" ht="17" hidden="1" outlineLevel="4" x14ac:dyDescent="0.25">
      <c r="B24" s="222"/>
      <c r="C24" s="264" t="s">
        <v>417</v>
      </c>
      <c r="D24" s="265" t="s">
        <v>413</v>
      </c>
      <c r="E24" s="266"/>
      <c r="F24" s="267"/>
      <c r="G24" s="267"/>
      <c r="H24" s="272">
        <f>IFERROR(H21/H20/H18,"")</f>
        <v>0.92233009708737856</v>
      </c>
      <c r="I24" s="269" t="str">
        <f>IFERROR(I21/I20/I18,"")</f>
        <v/>
      </c>
      <c r="J24" s="272" t="str">
        <f>IFERROR(J21/J20/J18,"")</f>
        <v/>
      </c>
      <c r="K24" s="272" t="str">
        <f>IFERROR(K21/K20/K18,"")</f>
        <v/>
      </c>
      <c r="L24" s="272" t="str">
        <f>IFERROR(L21/L20/L18,"")</f>
        <v/>
      </c>
      <c r="O24" t="s">
        <v>418</v>
      </c>
      <c r="P24" s="226"/>
    </row>
    <row r="25" spans="2:16" ht="18" hidden="1" outlineLevel="4" x14ac:dyDescent="0.25">
      <c r="B25" s="222"/>
      <c r="C25" s="264" t="s">
        <v>419</v>
      </c>
      <c r="D25" s="265" t="s">
        <v>420</v>
      </c>
      <c r="E25" s="266"/>
      <c r="F25" s="267"/>
      <c r="G25" s="267"/>
      <c r="H25" s="270">
        <v>1050</v>
      </c>
      <c r="I25" s="271">
        <v>1050</v>
      </c>
      <c r="J25" s="270">
        <v>1050</v>
      </c>
      <c r="K25" s="270">
        <v>1050</v>
      </c>
      <c r="L25" s="270">
        <v>1050</v>
      </c>
      <c r="O25" t="s">
        <v>421</v>
      </c>
      <c r="P25" s="226"/>
    </row>
    <row r="26" spans="2:16" ht="17" hidden="1" outlineLevel="4" x14ac:dyDescent="0.25">
      <c r="B26" s="222"/>
      <c r="C26" s="264" t="s">
        <v>422</v>
      </c>
      <c r="D26" s="265" t="s">
        <v>409</v>
      </c>
      <c r="E26" s="266"/>
      <c r="F26" s="273"/>
      <c r="G26" s="273"/>
      <c r="H26" s="274">
        <f>IFERROR(H21*(H25/H20),"-")</f>
        <v>968446.60194174759</v>
      </c>
      <c r="I26" s="275" t="str">
        <f>IFERROR(I21*(I25/I20),"-")</f>
        <v>-</v>
      </c>
      <c r="J26" s="274" t="str">
        <f>IFERROR(J21*(J25/J20),"-")</f>
        <v>-</v>
      </c>
      <c r="K26" s="274" t="str">
        <f>IFERROR(K21*(K25/K20),"-")</f>
        <v>-</v>
      </c>
      <c r="L26" s="274" t="str">
        <f>IFERROR(L21*(L25/L20),"-")</f>
        <v>-</v>
      </c>
      <c r="M26" s="228"/>
      <c r="N26" s="228"/>
      <c r="O26" t="s">
        <v>423</v>
      </c>
      <c r="P26" s="226"/>
    </row>
    <row r="27" spans="2:16" ht="17" hidden="1" outlineLevel="4" x14ac:dyDescent="0.25">
      <c r="B27" s="222"/>
      <c r="C27" s="265" t="s">
        <v>424</v>
      </c>
      <c r="D27" s="265" t="s">
        <v>425</v>
      </c>
      <c r="E27" s="266"/>
      <c r="F27" s="267"/>
      <c r="G27" s="267"/>
      <c r="H27" s="276">
        <f>IFERROR(H26/H18,"0")</f>
        <v>968.44660194174764</v>
      </c>
      <c r="I27" s="277" t="str">
        <f>IFERROR(I26/I18,"0")</f>
        <v>0</v>
      </c>
      <c r="J27" s="276" t="str">
        <f>IFERROR(J26/J18,"0")</f>
        <v>0</v>
      </c>
      <c r="K27" s="276" t="str">
        <f>IFERROR(K26/K18,"0")</f>
        <v>0</v>
      </c>
      <c r="L27" s="276" t="str">
        <f>IFERROR(L26/L18,"0")</f>
        <v>0</v>
      </c>
      <c r="O27" t="s">
        <v>426</v>
      </c>
      <c r="P27" s="226"/>
    </row>
    <row r="28" spans="2:16" ht="15" customHeight="1" collapsed="1" x14ac:dyDescent="0.2">
      <c r="B28" s="222"/>
      <c r="C28" s="261" t="s">
        <v>427</v>
      </c>
      <c r="D28" s="256" t="s">
        <v>413</v>
      </c>
      <c r="E28" s="256"/>
      <c r="F28" s="257"/>
      <c r="G28" s="257"/>
      <c r="H28" s="278">
        <v>0.21099999999999999</v>
      </c>
      <c r="I28" s="279"/>
      <c r="J28" s="278"/>
      <c r="K28" s="278"/>
      <c r="L28" s="278"/>
      <c r="N28" t="s">
        <v>428</v>
      </c>
      <c r="O28" t="s">
        <v>429</v>
      </c>
      <c r="P28" s="226"/>
    </row>
    <row r="29" spans="2:16" ht="15" customHeight="1" x14ac:dyDescent="0.2">
      <c r="B29" s="222"/>
      <c r="C29" s="261" t="s">
        <v>430</v>
      </c>
      <c r="D29" s="256" t="s">
        <v>413</v>
      </c>
      <c r="E29" s="256"/>
      <c r="F29" s="257"/>
      <c r="G29" s="257"/>
      <c r="H29" s="278">
        <v>1.4999999999999999E-2</v>
      </c>
      <c r="I29" s="279"/>
      <c r="J29" s="278"/>
      <c r="K29" s="278"/>
      <c r="L29" s="278"/>
      <c r="N29" t="s">
        <v>428</v>
      </c>
      <c r="O29" t="s">
        <v>429</v>
      </c>
      <c r="P29" s="226"/>
    </row>
    <row r="30" spans="2:16" ht="15" x14ac:dyDescent="0.2">
      <c r="B30" s="222"/>
      <c r="C30" s="261" t="s">
        <v>431</v>
      </c>
      <c r="D30" s="256" t="s">
        <v>432</v>
      </c>
      <c r="E30" s="256"/>
      <c r="F30" s="257"/>
      <c r="G30" s="257"/>
      <c r="H30" s="280">
        <v>4.7000000000000002E-3</v>
      </c>
      <c r="I30" s="279"/>
      <c r="J30" s="280"/>
      <c r="K30" s="280"/>
      <c r="L30" s="280"/>
      <c r="N30" t="s">
        <v>428</v>
      </c>
      <c r="O30" t="s">
        <v>433</v>
      </c>
      <c r="P30" s="226"/>
    </row>
    <row r="31" spans="2:16" ht="3" hidden="1" customHeight="1" x14ac:dyDescent="0.25">
      <c r="B31" s="222"/>
      <c r="C31" s="265" t="s">
        <v>434</v>
      </c>
      <c r="D31" s="265" t="s">
        <v>409</v>
      </c>
      <c r="E31" s="266"/>
      <c r="F31" s="267"/>
      <c r="G31" s="267"/>
      <c r="H31" s="281">
        <f>IFERROR(H26*(1-19*H30),"")</f>
        <v>881964.32038834947</v>
      </c>
      <c r="I31" s="282" t="str">
        <f>IFERROR(I26*(1-19*I30),"")</f>
        <v/>
      </c>
      <c r="J31" s="281" t="str">
        <f>IFERROR(J26*(1-19*J30),"")</f>
        <v/>
      </c>
      <c r="K31" s="281" t="str">
        <f>IFERROR(K26*(1-19*K30),"")</f>
        <v/>
      </c>
      <c r="L31" s="281" t="str">
        <f>IFERROR(L26*(1-19*L30),"")</f>
        <v/>
      </c>
      <c r="O31" t="s">
        <v>435</v>
      </c>
      <c r="P31" s="226"/>
    </row>
    <row r="32" spans="2:16" ht="3" hidden="1" customHeight="1" x14ac:dyDescent="0.2">
      <c r="B32" s="222"/>
      <c r="C32" s="265" t="s">
        <v>436</v>
      </c>
      <c r="D32" s="265" t="s">
        <v>437</v>
      </c>
      <c r="E32" s="266"/>
      <c r="F32" s="267"/>
      <c r="G32" s="267"/>
      <c r="H32" s="281">
        <f>IFERROR((H26+H31)/2*20,"")</f>
        <v>18504109.223300971</v>
      </c>
      <c r="I32" s="282" t="str">
        <f>IFERROR((I26+I31)/2*20,"")</f>
        <v/>
      </c>
      <c r="J32" s="281" t="str">
        <f>IFERROR((J26+J31)/2*20,"")</f>
        <v/>
      </c>
      <c r="K32" s="281" t="str">
        <f>IFERROR((K26+K31)/2*20,"")</f>
        <v/>
      </c>
      <c r="L32" s="281" t="str">
        <f>IFERROR((L26+L31)/2*20,"")</f>
        <v/>
      </c>
      <c r="P32" s="226"/>
    </row>
    <row r="33" spans="2:16" ht="3" hidden="1" customHeight="1" x14ac:dyDescent="0.2">
      <c r="B33" s="222"/>
      <c r="C33" s="283" t="s">
        <v>438</v>
      </c>
      <c r="D33" s="265" t="s">
        <v>439</v>
      </c>
      <c r="E33" s="266"/>
      <c r="F33" s="267"/>
      <c r="G33" s="267"/>
      <c r="H33" s="284">
        <f>IFERROR(H17/H18/1000,"")</f>
        <v>1</v>
      </c>
      <c r="I33" s="285" t="str">
        <f>IFERROR(I17/I18/1000,"")</f>
        <v/>
      </c>
      <c r="J33" s="284" t="str">
        <f>IFERROR(J17/J18/1000,"")</f>
        <v/>
      </c>
      <c r="K33" s="284" t="str">
        <f>IFERROR(K17/K18/1000,"")</f>
        <v/>
      </c>
      <c r="L33" s="286" t="str">
        <f>IFERROR(L17/L18/1000,"")</f>
        <v/>
      </c>
      <c r="P33" s="226"/>
    </row>
    <row r="34" spans="2:16" ht="15" customHeight="1" x14ac:dyDescent="0.2">
      <c r="B34" s="222"/>
      <c r="C34" s="287" t="s">
        <v>440</v>
      </c>
      <c r="D34" s="288" t="s">
        <v>441</v>
      </c>
      <c r="E34" s="288"/>
      <c r="F34" s="289"/>
      <c r="G34" s="289"/>
      <c r="H34" s="290">
        <f>IFERROR(H17/H32*100,"")</f>
        <v>5.4042050224215483</v>
      </c>
      <c r="I34" s="290" t="str">
        <f>IFERROR(I17/I32*100,"")</f>
        <v/>
      </c>
      <c r="J34" s="290" t="str">
        <f>IFERROR(J17/J32*100,"")</f>
        <v/>
      </c>
      <c r="K34" s="290" t="str">
        <f>IFERROR(K17/K32*100,"")</f>
        <v/>
      </c>
      <c r="L34" s="290" t="str">
        <f>IFERROR(L17/L32*100,"")</f>
        <v/>
      </c>
      <c r="M34" s="291">
        <v>9</v>
      </c>
      <c r="O34" t="s">
        <v>442</v>
      </c>
      <c r="P34" s="226"/>
    </row>
    <row r="35" spans="2:16" ht="15" customHeight="1" x14ac:dyDescent="0.2">
      <c r="B35" s="222"/>
      <c r="C35" s="292" t="s">
        <v>443</v>
      </c>
      <c r="D35" s="293"/>
      <c r="E35" s="293"/>
      <c r="F35" s="294"/>
      <c r="G35" s="294"/>
      <c r="H35" s="295">
        <f>IF(H34&gt;($M$34-0.001),0,$G$16*(1-(H34-MIN($H$34:$L$34))/($M$34-MIN($H$34:$L$34))))</f>
        <v>60.000000000000007</v>
      </c>
      <c r="I35" s="295">
        <f>IF(I34&gt;($M$34-0.001),0,$G$16*(1-(I34-MIN($H$34:$L$34))/($M$34-MIN($H$34:$L$34))))</f>
        <v>0</v>
      </c>
      <c r="J35" s="295">
        <f>IF(J34&gt;($M$34-0.001),0,$G$16*(1-(J34-MIN($H$34:$L$34))/($M$34-MIN($H$34:$L$34))))</f>
        <v>0</v>
      </c>
      <c r="K35" s="295">
        <f>IF(K34&gt;($M$34-0.001),0,$G$16*(1-(K34-MIN($H$34:$L$34))/($M$34-MIN($H$34:$L$34))))</f>
        <v>0</v>
      </c>
      <c r="L35" s="295">
        <f>IF(L34&gt;($M$34-0.001),0,$G$16*(1-(L34-MIN($H$34:$L$34))/($M$34-MIN($H$34:$L$34))))</f>
        <v>0</v>
      </c>
      <c r="P35" s="226"/>
    </row>
    <row r="36" spans="2:16" ht="15" customHeight="1" x14ac:dyDescent="0.2">
      <c r="B36" s="222"/>
      <c r="F36" s="245"/>
      <c r="G36" s="245"/>
      <c r="H36" s="245"/>
      <c r="I36" s="245"/>
      <c r="J36" s="245"/>
      <c r="K36" s="245"/>
      <c r="P36" s="226"/>
    </row>
    <row r="37" spans="2:16" ht="15" customHeight="1" thickBot="1" x14ac:dyDescent="0.3">
      <c r="B37" s="222"/>
      <c r="C37" s="296" t="s">
        <v>444</v>
      </c>
      <c r="D37" s="239"/>
      <c r="E37" s="239"/>
      <c r="F37" s="297">
        <v>0.2</v>
      </c>
      <c r="G37" s="240">
        <f>F37*100</f>
        <v>20</v>
      </c>
      <c r="H37" s="240"/>
      <c r="I37" s="240"/>
      <c r="J37" s="240"/>
      <c r="K37" s="240"/>
      <c r="L37" s="239"/>
      <c r="P37" s="226"/>
    </row>
    <row r="38" spans="2:16" ht="31" customHeight="1" x14ac:dyDescent="0.25">
      <c r="B38" s="222"/>
      <c r="C38" s="1" t="s">
        <v>445</v>
      </c>
      <c r="D38" t="s">
        <v>446</v>
      </c>
      <c r="E38" t="s">
        <v>447</v>
      </c>
      <c r="F38" s="298"/>
      <c r="G38" s="245"/>
      <c r="H38" s="299">
        <v>450</v>
      </c>
      <c r="I38" s="300"/>
      <c r="J38" s="299"/>
      <c r="K38" s="299"/>
      <c r="L38" s="299"/>
      <c r="N38" t="s">
        <v>448</v>
      </c>
      <c r="P38" s="226"/>
    </row>
    <row r="39" spans="2:16" ht="19" hidden="1" customHeight="1" outlineLevel="1" x14ac:dyDescent="0.2">
      <c r="B39" s="222"/>
      <c r="C39" s="301" t="s">
        <v>449</v>
      </c>
      <c r="F39" s="298"/>
      <c r="G39" s="245"/>
      <c r="H39" s="302"/>
      <c r="I39" s="303"/>
      <c r="J39" s="299"/>
      <c r="K39" s="299"/>
      <c r="L39" s="299"/>
      <c r="P39" s="226"/>
    </row>
    <row r="40" spans="2:16" ht="15" hidden="1" customHeight="1" outlineLevel="1" x14ac:dyDescent="0.25">
      <c r="B40" s="222"/>
      <c r="C40" t="s">
        <v>450</v>
      </c>
      <c r="E40" t="s">
        <v>451</v>
      </c>
      <c r="F40" s="298"/>
      <c r="G40" s="245"/>
      <c r="H40" s="302"/>
      <c r="I40" s="303"/>
      <c r="J40" s="299"/>
      <c r="K40" s="299"/>
      <c r="L40" s="299"/>
      <c r="P40" s="226"/>
    </row>
    <row r="41" spans="2:16" ht="15" hidden="1" customHeight="1" outlineLevel="1" x14ac:dyDescent="0.2">
      <c r="B41" s="222"/>
      <c r="C41" t="s">
        <v>452</v>
      </c>
      <c r="F41" s="298"/>
      <c r="G41" s="245"/>
      <c r="H41" s="302"/>
      <c r="I41" s="303"/>
      <c r="J41" s="299"/>
      <c r="K41" s="299"/>
      <c r="L41" s="299"/>
      <c r="P41" s="226"/>
    </row>
    <row r="42" spans="2:16" ht="15" hidden="1" customHeight="1" outlineLevel="1" x14ac:dyDescent="0.2">
      <c r="B42" s="222"/>
      <c r="C42" t="s">
        <v>453</v>
      </c>
      <c r="F42" s="298"/>
      <c r="G42" s="245"/>
      <c r="H42" s="302"/>
      <c r="I42" s="303"/>
      <c r="J42" s="299"/>
      <c r="K42" s="299"/>
      <c r="L42" s="299"/>
      <c r="P42" s="226"/>
    </row>
    <row r="43" spans="2:16" ht="15" customHeight="1" collapsed="1" x14ac:dyDescent="0.2">
      <c r="B43" s="222"/>
      <c r="C43" s="292" t="s">
        <v>454</v>
      </c>
      <c r="D43" s="293"/>
      <c r="E43" s="293"/>
      <c r="F43" s="304"/>
      <c r="G43" s="294"/>
      <c r="H43" s="305">
        <f>IF(OR(H38&gt;550,H38&lt;50),0,$G$37*(550-H38)/(550-MIN($H$38:$L$38)))</f>
        <v>20</v>
      </c>
      <c r="I43" s="306">
        <f>IF(OR(I38&gt;550,I38&lt;50),0,$G$37*(550-I38)/(550-MIN($H$38:$L$38)))</f>
        <v>0</v>
      </c>
      <c r="J43" s="307">
        <f>IF(OR(J38&gt;550,J38&lt;50),0,$G$37*(550-J38)/(550-MIN($H$38:$L$38)))</f>
        <v>0</v>
      </c>
      <c r="K43" s="307">
        <f>IF(OR(K38&gt;550,K38&lt;50),0,$G$37*(550-K38)/(550-MIN($H$38:$L$38)))</f>
        <v>0</v>
      </c>
      <c r="L43" s="307">
        <f>IF(OR(L38&gt;550,L38&lt;50),0,$G$37*(550-L38)/(550-MIN($H$38:$L$38)))</f>
        <v>0</v>
      </c>
      <c r="P43" s="226"/>
    </row>
    <row r="44" spans="2:16" ht="15" customHeight="1" x14ac:dyDescent="0.2">
      <c r="B44" s="222"/>
      <c r="F44" s="298"/>
      <c r="G44" s="245"/>
      <c r="H44" s="245"/>
      <c r="I44" s="245"/>
      <c r="J44" s="245"/>
      <c r="K44" s="245"/>
      <c r="L44" s="245"/>
      <c r="P44" s="226"/>
    </row>
    <row r="45" spans="2:16" ht="15" customHeight="1" thickBot="1" x14ac:dyDescent="0.3">
      <c r="B45" s="222"/>
      <c r="C45" s="296" t="s">
        <v>455</v>
      </c>
      <c r="D45" s="239"/>
      <c r="E45" s="239"/>
      <c r="F45" s="297">
        <v>0.1</v>
      </c>
      <c r="G45" s="240">
        <f>F45*100</f>
        <v>10</v>
      </c>
      <c r="H45" s="308"/>
      <c r="I45" s="308"/>
      <c r="J45" s="308"/>
      <c r="K45" s="308"/>
      <c r="L45" s="308"/>
      <c r="P45" s="226"/>
    </row>
    <row r="46" spans="2:16" ht="15" customHeight="1" x14ac:dyDescent="0.2">
      <c r="B46" s="222"/>
      <c r="C46" t="s">
        <v>456</v>
      </c>
      <c r="F46" s="298"/>
      <c r="G46" s="245">
        <v>2</v>
      </c>
      <c r="H46" s="299" t="s">
        <v>457</v>
      </c>
      <c r="I46" s="309" t="s">
        <v>458</v>
      </c>
      <c r="J46" s="299" t="s">
        <v>457</v>
      </c>
      <c r="K46" s="299" t="s">
        <v>457</v>
      </c>
      <c r="L46" s="299" t="s">
        <v>459</v>
      </c>
      <c r="P46" s="226"/>
    </row>
    <row r="47" spans="2:16" ht="15" customHeight="1" x14ac:dyDescent="0.2">
      <c r="B47" s="222"/>
      <c r="C47" t="s">
        <v>460</v>
      </c>
      <c r="F47" s="298"/>
      <c r="G47" s="245">
        <v>2</v>
      </c>
      <c r="H47" s="299" t="s">
        <v>457</v>
      </c>
      <c r="I47" s="309" t="s">
        <v>458</v>
      </c>
      <c r="J47" s="299" t="s">
        <v>458</v>
      </c>
      <c r="K47" s="299" t="s">
        <v>458</v>
      </c>
      <c r="L47" s="299" t="s">
        <v>457</v>
      </c>
      <c r="P47" s="226"/>
    </row>
    <row r="48" spans="2:16" ht="15" customHeight="1" x14ac:dyDescent="0.2">
      <c r="B48" s="222"/>
      <c r="C48" t="s">
        <v>461</v>
      </c>
      <c r="F48" s="298"/>
      <c r="G48" s="245">
        <v>6</v>
      </c>
      <c r="H48" s="299" t="s">
        <v>457</v>
      </c>
      <c r="I48" s="309" t="s">
        <v>458</v>
      </c>
      <c r="J48" s="299" t="s">
        <v>457</v>
      </c>
      <c r="K48" s="299" t="s">
        <v>457</v>
      </c>
      <c r="L48" s="299" t="s">
        <v>458</v>
      </c>
      <c r="P48" s="226"/>
    </row>
    <row r="49" spans="1:16" ht="15" customHeight="1" x14ac:dyDescent="0.2">
      <c r="B49" s="222"/>
      <c r="C49" s="292" t="s">
        <v>462</v>
      </c>
      <c r="D49" s="293"/>
      <c r="E49" s="293"/>
      <c r="F49" s="304"/>
      <c r="G49" s="294"/>
      <c r="H49" s="310">
        <f>SUM(IF(H47="ja",$G$47,0),IF(H48="ja",$G$48,0),IF(H46="ja",$G$46,0))</f>
        <v>10</v>
      </c>
      <c r="I49" s="310">
        <f>SUM(IF(I47="ja",$G$47,0),IF(I48="ja",$G$48,0),IF(I46="ja",$G$46,0))</f>
        <v>0</v>
      </c>
      <c r="J49" s="310">
        <f>SUM(IF(J47="ja",$G$47,0),IF(J48="ja",$G$48,0),IF(J46="ja",$G$46,0))</f>
        <v>8</v>
      </c>
      <c r="K49" s="310">
        <f>SUM(IF(K47="ja",$G$47,0),IF(K48="ja",$G$48,0),IF(K46="ja",$G$46,0))</f>
        <v>8</v>
      </c>
      <c r="L49" s="310">
        <f>SUM(IF(L47="ja",$G$47,0),IF(L48="ja",$G$48,0),IF(L46="ja",$G$46,0))</f>
        <v>2</v>
      </c>
      <c r="P49" s="226"/>
    </row>
    <row r="50" spans="1:16" ht="15" customHeight="1" x14ac:dyDescent="0.2">
      <c r="B50" s="222"/>
      <c r="F50" s="298"/>
      <c r="G50" s="245"/>
      <c r="H50" s="245"/>
      <c r="I50" s="245"/>
      <c r="J50" s="245"/>
      <c r="K50" s="245"/>
      <c r="L50" s="245"/>
      <c r="P50" s="226"/>
    </row>
    <row r="51" spans="1:16" ht="15" customHeight="1" thickBot="1" x14ac:dyDescent="0.3">
      <c r="B51" s="222"/>
      <c r="C51" s="296" t="s">
        <v>463</v>
      </c>
      <c r="D51" s="239"/>
      <c r="E51" s="239"/>
      <c r="F51" s="297">
        <v>0.1</v>
      </c>
      <c r="G51" s="240">
        <f>F51*100</f>
        <v>10</v>
      </c>
      <c r="H51" s="240"/>
      <c r="I51" s="240"/>
      <c r="J51" s="240"/>
      <c r="K51" s="240"/>
      <c r="L51" s="240"/>
      <c r="M51" s="239"/>
      <c r="N51" s="239"/>
      <c r="O51" s="243" t="s">
        <v>391</v>
      </c>
      <c r="P51" s="226"/>
    </row>
    <row r="52" spans="1:16" ht="15" customHeight="1" outlineLevel="1" x14ac:dyDescent="0.2">
      <c r="B52" s="222"/>
      <c r="C52" t="s">
        <v>464</v>
      </c>
      <c r="F52" s="298"/>
      <c r="G52" s="245"/>
      <c r="H52" s="299" t="s">
        <v>457</v>
      </c>
      <c r="I52" s="309" t="s">
        <v>458</v>
      </c>
      <c r="J52" s="299" t="s">
        <v>457</v>
      </c>
      <c r="K52" s="299" t="s">
        <v>457</v>
      </c>
      <c r="L52" s="299" t="s">
        <v>459</v>
      </c>
      <c r="N52" s="311" t="s">
        <v>465</v>
      </c>
      <c r="O52" t="s">
        <v>466</v>
      </c>
      <c r="P52" s="226"/>
    </row>
    <row r="53" spans="1:16" ht="15" customHeight="1" outlineLevel="1" x14ac:dyDescent="0.2">
      <c r="B53" s="222"/>
      <c r="C53" t="s">
        <v>467</v>
      </c>
      <c r="F53" s="298"/>
      <c r="G53" s="245"/>
      <c r="H53" s="299" t="s">
        <v>457</v>
      </c>
      <c r="I53" s="309" t="s">
        <v>458</v>
      </c>
      <c r="J53" s="299" t="s">
        <v>458</v>
      </c>
      <c r="K53" s="299" t="s">
        <v>458</v>
      </c>
      <c r="L53" s="299" t="s">
        <v>457</v>
      </c>
      <c r="N53" s="311" t="s">
        <v>465</v>
      </c>
      <c r="O53" t="s">
        <v>468</v>
      </c>
      <c r="P53" s="226"/>
    </row>
    <row r="54" spans="1:16" ht="15" customHeight="1" outlineLevel="1" x14ac:dyDescent="0.2">
      <c r="B54" s="222"/>
      <c r="C54" t="s">
        <v>469</v>
      </c>
      <c r="F54" s="298"/>
      <c r="G54" s="245"/>
      <c r="H54" s="299" t="s">
        <v>457</v>
      </c>
      <c r="I54" s="309" t="s">
        <v>458</v>
      </c>
      <c r="J54" s="299" t="s">
        <v>457</v>
      </c>
      <c r="K54" s="299" t="s">
        <v>457</v>
      </c>
      <c r="L54" s="299" t="s">
        <v>458</v>
      </c>
      <c r="N54" s="311" t="s">
        <v>465</v>
      </c>
      <c r="O54" t="s">
        <v>470</v>
      </c>
      <c r="P54" s="226"/>
    </row>
    <row r="55" spans="1:16" ht="15" customHeight="1" x14ac:dyDescent="0.2">
      <c r="B55" s="222"/>
      <c r="C55" s="292" t="s">
        <v>471</v>
      </c>
      <c r="D55" s="293"/>
      <c r="E55" s="293"/>
      <c r="F55" s="304"/>
      <c r="G55" s="294"/>
      <c r="H55" s="310">
        <f>$G$51/3*COUNTIF(H52:H54,"Ja")</f>
        <v>10</v>
      </c>
      <c r="I55" s="310">
        <f>$G$51/3*COUNTIF(I52:I54,"Ja")</f>
        <v>0</v>
      </c>
      <c r="J55" s="310">
        <f>$G$51/3*COUNTIF(J52:J54,"Ja")</f>
        <v>6.666666666666667</v>
      </c>
      <c r="K55" s="310">
        <f>$G$51/3*COUNTIF(K52:K54,"Ja")</f>
        <v>6.666666666666667</v>
      </c>
      <c r="L55" s="310">
        <f>$G$51/3*COUNTIF(L52:L54,"Ja")</f>
        <v>3.3333333333333335</v>
      </c>
      <c r="P55" s="226"/>
    </row>
    <row r="56" spans="1:16" s="312" customFormat="1" ht="15" customHeight="1" x14ac:dyDescent="0.2">
      <c r="B56" s="313"/>
      <c r="F56" s="298"/>
      <c r="G56" s="298"/>
      <c r="H56" s="298"/>
      <c r="I56" s="298"/>
      <c r="J56" s="298"/>
      <c r="K56" s="298"/>
      <c r="L56" s="298"/>
      <c r="M56" s="298"/>
      <c r="N56" s="298"/>
      <c r="P56" s="314"/>
    </row>
    <row r="57" spans="1:16" s="312" customFormat="1" ht="15" customHeight="1" thickBot="1" x14ac:dyDescent="0.25">
      <c r="B57" s="313"/>
      <c r="C57" s="315" t="s">
        <v>472</v>
      </c>
      <c r="D57" s="308"/>
      <c r="E57" s="308"/>
      <c r="F57" s="297">
        <v>0</v>
      </c>
      <c r="G57" s="316">
        <f>F57*100</f>
        <v>0</v>
      </c>
      <c r="H57" s="316"/>
      <c r="I57" s="316"/>
      <c r="J57" s="316"/>
      <c r="K57" s="316"/>
      <c r="L57" s="316"/>
      <c r="M57" s="316"/>
      <c r="N57" s="316"/>
      <c r="O57" s="317"/>
      <c r="P57" s="314"/>
    </row>
    <row r="58" spans="1:16" s="312" customFormat="1" ht="15" x14ac:dyDescent="0.2">
      <c r="B58" s="313"/>
      <c r="C58" s="318"/>
      <c r="F58" s="298"/>
      <c r="G58" s="298"/>
      <c r="H58" s="299" t="s">
        <v>457</v>
      </c>
      <c r="I58" s="309" t="s">
        <v>458</v>
      </c>
      <c r="J58" s="299" t="s">
        <v>457</v>
      </c>
      <c r="K58" s="299" t="s">
        <v>457</v>
      </c>
      <c r="L58" s="299" t="s">
        <v>459</v>
      </c>
      <c r="O58" s="312" t="s">
        <v>473</v>
      </c>
      <c r="P58" s="314"/>
    </row>
    <row r="59" spans="1:16" s="312" customFormat="1" ht="15" customHeight="1" x14ac:dyDescent="0.2">
      <c r="B59" s="313"/>
      <c r="F59" s="298"/>
      <c r="G59" s="298"/>
      <c r="H59" s="299" t="s">
        <v>458</v>
      </c>
      <c r="I59" s="309" t="s">
        <v>458</v>
      </c>
      <c r="J59" s="299" t="s">
        <v>458</v>
      </c>
      <c r="K59" s="299" t="s">
        <v>458</v>
      </c>
      <c r="L59" s="299" t="s">
        <v>457</v>
      </c>
      <c r="O59" s="312" t="s">
        <v>474</v>
      </c>
      <c r="P59" s="314"/>
    </row>
    <row r="60" spans="1:16" ht="15" customHeight="1" x14ac:dyDescent="0.2">
      <c r="A60" s="312"/>
      <c r="B60" s="313"/>
      <c r="C60" s="319" t="s">
        <v>475</v>
      </c>
      <c r="D60" s="320"/>
      <c r="E60" s="320"/>
      <c r="F60" s="304"/>
      <c r="G60" s="304"/>
      <c r="H60" s="321">
        <f>$G$57/2*COUNTIF(H58:H59,"Ja")</f>
        <v>0</v>
      </c>
      <c r="I60" s="321">
        <f>$G$57/2*COUNTIF(I58:I59,"Ja")</f>
        <v>0</v>
      </c>
      <c r="J60" s="321">
        <f>$G$57/2*COUNTIF(J58:J59,"Ja")</f>
        <v>0</v>
      </c>
      <c r="K60" s="321">
        <f>$G$57/2*COUNTIF(K58:K59,"Ja")</f>
        <v>0</v>
      </c>
      <c r="L60" s="321">
        <f>$G$57/2*COUNTIF(L58:L59,"Ja")</f>
        <v>0</v>
      </c>
      <c r="M60" s="312"/>
      <c r="P60" s="226"/>
    </row>
    <row r="61" spans="1:16" ht="15" customHeight="1" x14ac:dyDescent="0.2">
      <c r="A61" s="312"/>
      <c r="B61" s="313"/>
      <c r="C61" s="312"/>
      <c r="D61" s="312"/>
      <c r="E61" s="312"/>
      <c r="F61" s="298"/>
      <c r="G61" s="298"/>
      <c r="H61" s="298"/>
      <c r="I61" s="298"/>
      <c r="J61" s="298"/>
      <c r="K61" s="298"/>
      <c r="L61" s="298"/>
      <c r="M61" s="312"/>
      <c r="P61" s="226"/>
    </row>
    <row r="62" spans="1:16" ht="15" customHeight="1" thickBot="1" x14ac:dyDescent="0.25">
      <c r="A62" s="312"/>
      <c r="B62" s="313"/>
      <c r="C62" s="315" t="s">
        <v>476</v>
      </c>
      <c r="D62" s="308"/>
      <c r="E62" s="308"/>
      <c r="F62" s="297">
        <v>0</v>
      </c>
      <c r="G62" s="316">
        <f>F62*100</f>
        <v>0</v>
      </c>
      <c r="H62" s="316"/>
      <c r="I62" s="316"/>
      <c r="J62" s="316"/>
      <c r="K62" s="316"/>
      <c r="L62" s="316"/>
      <c r="M62" s="308"/>
      <c r="N62" s="239"/>
      <c r="O62" s="243"/>
      <c r="P62" s="226"/>
    </row>
    <row r="63" spans="1:16" ht="15" customHeight="1" outlineLevel="2" x14ac:dyDescent="0.2">
      <c r="A63" s="312"/>
      <c r="B63" s="313"/>
      <c r="C63" s="312"/>
      <c r="D63" s="312"/>
      <c r="E63" s="312"/>
      <c r="F63" s="298"/>
      <c r="G63" s="298"/>
      <c r="H63" s="299" t="s">
        <v>457</v>
      </c>
      <c r="I63" s="309" t="s">
        <v>457</v>
      </c>
      <c r="J63" s="299" t="s">
        <v>457</v>
      </c>
      <c r="K63" s="299" t="s">
        <v>457</v>
      </c>
      <c r="L63" s="299" t="s">
        <v>459</v>
      </c>
      <c r="M63" s="312"/>
      <c r="O63" t="s">
        <v>473</v>
      </c>
      <c r="P63" s="226"/>
    </row>
    <row r="64" spans="1:16" ht="15" customHeight="1" outlineLevel="2" x14ac:dyDescent="0.2">
      <c r="A64" s="312"/>
      <c r="B64" s="313"/>
      <c r="C64" s="312"/>
      <c r="D64" s="312"/>
      <c r="E64" s="312"/>
      <c r="F64" s="298"/>
      <c r="G64" s="298"/>
      <c r="H64" s="299" t="s">
        <v>457</v>
      </c>
      <c r="I64" s="309" t="s">
        <v>459</v>
      </c>
      <c r="J64" s="299" t="s">
        <v>458</v>
      </c>
      <c r="K64" s="299" t="s">
        <v>458</v>
      </c>
      <c r="L64" s="299" t="s">
        <v>457</v>
      </c>
      <c r="M64" s="312"/>
      <c r="O64" t="s">
        <v>474</v>
      </c>
      <c r="P64" s="226"/>
    </row>
    <row r="65" spans="1:16" ht="15" customHeight="1" outlineLevel="2" x14ac:dyDescent="0.2">
      <c r="A65" s="312"/>
      <c r="B65" s="313"/>
      <c r="C65" s="312"/>
      <c r="D65" s="312"/>
      <c r="E65" s="312"/>
      <c r="F65" s="298"/>
      <c r="G65" s="298"/>
      <c r="H65" s="299" t="s">
        <v>457</v>
      </c>
      <c r="I65" s="309" t="s">
        <v>459</v>
      </c>
      <c r="J65" s="299" t="s">
        <v>457</v>
      </c>
      <c r="K65" s="299" t="s">
        <v>457</v>
      </c>
      <c r="L65" s="299" t="s">
        <v>458</v>
      </c>
      <c r="M65" s="312"/>
      <c r="P65" s="226"/>
    </row>
    <row r="66" spans="1:16" ht="15" customHeight="1" x14ac:dyDescent="0.2">
      <c r="A66" s="312"/>
      <c r="B66" s="313"/>
      <c r="C66" s="319" t="s">
        <v>477</v>
      </c>
      <c r="D66" s="320"/>
      <c r="E66" s="320"/>
      <c r="F66" s="304"/>
      <c r="G66" s="304"/>
      <c r="H66" s="321">
        <f>$G$62/3*COUNTIF(H63:H65,"Ja")</f>
        <v>0</v>
      </c>
      <c r="I66" s="321">
        <f>$G$62/3*COUNTIF(I63:I65,"Ja")</f>
        <v>0</v>
      </c>
      <c r="J66" s="321">
        <f>$G$62/3*COUNTIF(J63:J65,"Ja")</f>
        <v>0</v>
      </c>
      <c r="K66" s="321">
        <f>$G$62/3*COUNTIF(K63:K65,"Ja")</f>
        <v>0</v>
      </c>
      <c r="L66" s="321">
        <f>$G$62/3*COUNTIF(L63:L65,"Ja")</f>
        <v>0</v>
      </c>
      <c r="M66" s="312"/>
      <c r="P66" s="226"/>
    </row>
    <row r="67" spans="1:16" ht="15" customHeight="1" thickBot="1" x14ac:dyDescent="0.25">
      <c r="B67" s="222"/>
      <c r="C67" s="228"/>
      <c r="F67" s="245"/>
      <c r="G67" s="245"/>
      <c r="H67" s="245"/>
      <c r="I67" s="245"/>
      <c r="J67" s="245"/>
      <c r="K67" s="245"/>
      <c r="P67" s="226"/>
    </row>
    <row r="68" spans="1:16" ht="15" customHeight="1" thickBot="1" x14ac:dyDescent="0.25">
      <c r="B68" s="222"/>
      <c r="C68" s="322" t="s">
        <v>478</v>
      </c>
      <c r="D68" s="323"/>
      <c r="E68" s="323"/>
      <c r="F68" s="324"/>
      <c r="G68" s="324"/>
      <c r="H68" s="324" t="str">
        <f>H11</f>
        <v>Voorbeeld</v>
      </c>
      <c r="I68" s="325" t="str">
        <f>I11</f>
        <v>Uw aanbieding</v>
      </c>
      <c r="J68" s="324" t="str">
        <f>J11</f>
        <v>Inschrijver A</v>
      </c>
      <c r="K68" s="324" t="str">
        <f>K11</f>
        <v>Inschrijver B</v>
      </c>
      <c r="L68" s="324" t="str">
        <f>L11</f>
        <v>Inschrijver C</v>
      </c>
      <c r="M68" s="326" t="s">
        <v>479</v>
      </c>
      <c r="N68" s="243"/>
      <c r="O68" s="243" t="s">
        <v>391</v>
      </c>
      <c r="P68" s="226"/>
    </row>
    <row r="69" spans="1:16" ht="15" customHeight="1" thickBot="1" x14ac:dyDescent="0.25">
      <c r="B69" s="222"/>
      <c r="C69" s="327"/>
      <c r="D69" s="328"/>
      <c r="E69" s="328"/>
      <c r="F69" s="329"/>
      <c r="G69" s="329"/>
      <c r="H69" s="330"/>
      <c r="I69" s="331"/>
      <c r="J69" s="330"/>
      <c r="K69" s="330"/>
      <c r="L69" s="330"/>
      <c r="M69" s="332"/>
      <c r="N69" s="328"/>
      <c r="O69" s="243"/>
      <c r="P69" s="226"/>
    </row>
    <row r="70" spans="1:16" ht="15" customHeight="1" x14ac:dyDescent="0.25">
      <c r="B70" s="222"/>
      <c r="C70" s="333" t="str">
        <f>C16</f>
        <v>1. Kosten per kWh (excl financiering, curtailment, O&amp;M)</v>
      </c>
      <c r="F70" s="245"/>
      <c r="G70" s="245"/>
      <c r="H70" s="334">
        <f>H35</f>
        <v>60.000000000000007</v>
      </c>
      <c r="I70" s="335">
        <f>I35</f>
        <v>0</v>
      </c>
      <c r="J70" s="334">
        <f>J35</f>
        <v>0</v>
      </c>
      <c r="K70" s="334">
        <f>K35</f>
        <v>0</v>
      </c>
      <c r="L70" s="334">
        <f>L35</f>
        <v>0</v>
      </c>
      <c r="M70" s="336">
        <f>F16</f>
        <v>0.60000000000000009</v>
      </c>
      <c r="N70" s="337"/>
      <c r="O70" t="s">
        <v>480</v>
      </c>
      <c r="P70" s="226"/>
    </row>
    <row r="71" spans="1:16" ht="15" customHeight="1" x14ac:dyDescent="0.2">
      <c r="B71" s="222"/>
      <c r="C71" s="333" t="str">
        <f>C37</f>
        <v>2. Carbon footprint (CFP) van de toegepaste zonnepanelen</v>
      </c>
      <c r="D71" s="338"/>
      <c r="E71" s="338"/>
      <c r="F71" s="339"/>
      <c r="G71" s="339"/>
      <c r="H71" s="340">
        <f>H43</f>
        <v>20</v>
      </c>
      <c r="I71" s="335">
        <f>I43</f>
        <v>0</v>
      </c>
      <c r="J71" s="341">
        <f>J43</f>
        <v>0</v>
      </c>
      <c r="K71" s="341">
        <f>K43</f>
        <v>0</v>
      </c>
      <c r="L71" s="341">
        <f>L43</f>
        <v>0</v>
      </c>
      <c r="M71" s="336">
        <f>F37</f>
        <v>0.2</v>
      </c>
      <c r="N71" s="342"/>
      <c r="O71" t="s">
        <v>481</v>
      </c>
      <c r="P71" s="226"/>
    </row>
    <row r="72" spans="1:16" ht="15" customHeight="1" x14ac:dyDescent="0.2">
      <c r="B72" s="222"/>
      <c r="C72" s="333" t="str">
        <f>C45</f>
        <v xml:space="preserve">3. Technische levensduur </v>
      </c>
      <c r="F72" s="245"/>
      <c r="G72" s="245"/>
      <c r="H72" s="340">
        <f>H49</f>
        <v>10</v>
      </c>
      <c r="I72" s="335">
        <f>I49</f>
        <v>0</v>
      </c>
      <c r="J72" s="341">
        <f>J49</f>
        <v>8</v>
      </c>
      <c r="K72" s="341">
        <f>K49</f>
        <v>8</v>
      </c>
      <c r="L72" s="341">
        <f>L49</f>
        <v>2</v>
      </c>
      <c r="M72" s="336">
        <f>F45</f>
        <v>0.1</v>
      </c>
      <c r="N72" s="342"/>
      <c r="O72" t="s">
        <v>482</v>
      </c>
      <c r="P72" s="226"/>
    </row>
    <row r="73" spans="1:16" ht="15" customHeight="1" x14ac:dyDescent="0.2">
      <c r="B73" s="222"/>
      <c r="C73" s="333" t="str">
        <f>C51</f>
        <v>4. Vermijdbare Giftige stoffen</v>
      </c>
      <c r="F73" s="245"/>
      <c r="G73" s="245"/>
      <c r="H73" s="340">
        <f>H55</f>
        <v>10</v>
      </c>
      <c r="I73" s="335">
        <f>I55</f>
        <v>0</v>
      </c>
      <c r="J73" s="341">
        <f>J55</f>
        <v>6.666666666666667</v>
      </c>
      <c r="K73" s="341">
        <f>K55</f>
        <v>6.666666666666667</v>
      </c>
      <c r="L73" s="341">
        <f>L55</f>
        <v>3.3333333333333335</v>
      </c>
      <c r="M73" s="336">
        <f>F51</f>
        <v>0.1</v>
      </c>
      <c r="N73" s="342"/>
      <c r="O73" t="s">
        <v>483</v>
      </c>
      <c r="P73" s="226"/>
    </row>
    <row r="74" spans="1:16" ht="15" customHeight="1" x14ac:dyDescent="0.2">
      <c r="B74" s="222"/>
      <c r="C74" s="333" t="str">
        <f>C57</f>
        <v>5. Optionele criteria vanuit uw organisatie</v>
      </c>
      <c r="F74" s="245"/>
      <c r="G74" s="245"/>
      <c r="H74" s="340">
        <f>H60</f>
        <v>0</v>
      </c>
      <c r="I74" s="335">
        <f>I60</f>
        <v>0</v>
      </c>
      <c r="J74" s="341">
        <f>J60</f>
        <v>0</v>
      </c>
      <c r="K74" s="341">
        <f>K60</f>
        <v>0</v>
      </c>
      <c r="L74" s="341">
        <f>L60</f>
        <v>0</v>
      </c>
      <c r="M74" s="336">
        <f>F57</f>
        <v>0</v>
      </c>
      <c r="N74" s="342"/>
      <c r="P74" s="226"/>
    </row>
    <row r="75" spans="1:16" ht="15" customHeight="1" x14ac:dyDescent="0.2">
      <c r="B75" s="222"/>
      <c r="C75" s="333" t="str">
        <f>C62</f>
        <v>6. Optionele criteria vanuit uw organisatie -2</v>
      </c>
      <c r="F75" s="245"/>
      <c r="G75" s="245"/>
      <c r="H75" s="340">
        <f>H66</f>
        <v>0</v>
      </c>
      <c r="I75" s="335">
        <f>I66</f>
        <v>0</v>
      </c>
      <c r="J75" s="341">
        <f>J66</f>
        <v>0</v>
      </c>
      <c r="K75" s="341">
        <f>K66</f>
        <v>0</v>
      </c>
      <c r="L75" s="341">
        <f>L66</f>
        <v>0</v>
      </c>
      <c r="M75" s="343">
        <f>F62</f>
        <v>0</v>
      </c>
      <c r="N75" s="342"/>
      <c r="O75" t="s">
        <v>484</v>
      </c>
      <c r="P75" s="226"/>
    </row>
    <row r="76" spans="1:16" ht="15" customHeight="1" thickBot="1" x14ac:dyDescent="0.25">
      <c r="B76" s="222"/>
      <c r="C76" s="344" t="s">
        <v>485</v>
      </c>
      <c r="D76" s="345"/>
      <c r="E76" s="345"/>
      <c r="F76" s="346"/>
      <c r="G76" s="346"/>
      <c r="H76" s="347">
        <f>SUM(H70:H75)</f>
        <v>100</v>
      </c>
      <c r="I76" s="348">
        <f>IFERROR(SUM(I70:I75),"-")</f>
        <v>0</v>
      </c>
      <c r="J76" s="349">
        <f>IFERROR(SUM(J70:J75),"-")</f>
        <v>14.666666666666668</v>
      </c>
      <c r="K76" s="349">
        <f>IFERROR(SUM(K70:K75),"-")</f>
        <v>14.666666666666668</v>
      </c>
      <c r="L76" s="349">
        <f>IFERROR(SUM(L70:L75),"-")</f>
        <v>5.3333333333333339</v>
      </c>
      <c r="M76" s="350">
        <f>SUM(M70:M75)</f>
        <v>1</v>
      </c>
      <c r="N76" s="351"/>
      <c r="O76" t="s">
        <v>486</v>
      </c>
      <c r="P76" s="226"/>
    </row>
    <row r="77" spans="1:16" ht="5" customHeight="1" x14ac:dyDescent="0.2">
      <c r="B77" s="352"/>
      <c r="C77" s="353"/>
      <c r="D77" s="353"/>
      <c r="E77" s="353"/>
      <c r="F77" s="354"/>
      <c r="G77" s="354"/>
      <c r="H77" s="353"/>
      <c r="I77" s="353"/>
      <c r="J77" s="353"/>
      <c r="K77" s="353"/>
      <c r="L77" s="353"/>
      <c r="M77" s="353"/>
      <c r="N77" s="353"/>
      <c r="O77" s="353"/>
      <c r="P77" s="355"/>
    </row>
    <row r="78" spans="1:16" ht="5" customHeight="1" x14ac:dyDescent="0.2"/>
    <row r="79" spans="1:16" ht="15" customHeight="1" x14ac:dyDescent="0.2"/>
    <row r="80" spans="1:16" ht="15" customHeight="1" x14ac:dyDescent="0.2"/>
    <row r="81" spans="8:9" ht="15" customHeight="1" x14ac:dyDescent="0.2"/>
    <row r="82" spans="8:9" ht="15" customHeight="1" x14ac:dyDescent="0.2"/>
    <row r="83" spans="8:9" ht="15" customHeight="1" x14ac:dyDescent="0.2"/>
    <row r="84" spans="8:9" ht="15" customHeight="1" x14ac:dyDescent="0.2"/>
    <row r="85" spans="8:9" ht="15" customHeight="1" x14ac:dyDescent="0.2"/>
    <row r="86" spans="8:9" ht="15" customHeight="1" x14ac:dyDescent="0.2"/>
    <row r="87" spans="8:9" ht="15" hidden="1" customHeight="1" thickBot="1" x14ac:dyDescent="0.25">
      <c r="H87" s="243" t="s">
        <v>487</v>
      </c>
    </row>
    <row r="88" spans="8:9" ht="15" hidden="1" customHeight="1" x14ac:dyDescent="0.2"/>
    <row r="89" spans="8:9" ht="15" hidden="1" customHeight="1" x14ac:dyDescent="0.2">
      <c r="H89" s="356" t="s">
        <v>488</v>
      </c>
      <c r="I89" s="356" t="s">
        <v>489</v>
      </c>
    </row>
    <row r="90" spans="8:9" ht="15" hidden="1" customHeight="1" x14ac:dyDescent="0.2">
      <c r="H90" s="357" t="s">
        <v>457</v>
      </c>
      <c r="I90" s="357">
        <v>1</v>
      </c>
    </row>
    <row r="91" spans="8:9" ht="15" hidden="1" customHeight="1" x14ac:dyDescent="0.2">
      <c r="H91" s="357" t="s">
        <v>459</v>
      </c>
      <c r="I91" s="357">
        <v>0</v>
      </c>
    </row>
    <row r="92" spans="8:9" ht="15" hidden="1" customHeight="1" x14ac:dyDescent="0.2">
      <c r="H92" s="358" t="s">
        <v>458</v>
      </c>
    </row>
    <row r="93" spans="8:9" ht="15" hidden="1" customHeight="1" x14ac:dyDescent="0.2"/>
    <row r="94" spans="8:9" ht="15" hidden="1" customHeight="1" x14ac:dyDescent="0.2">
      <c r="H94" s="356"/>
    </row>
    <row r="95" spans="8:9" ht="15" hidden="1" customHeight="1" x14ac:dyDescent="0.2">
      <c r="H95" s="357"/>
    </row>
    <row r="96" spans="8:9" ht="15" hidden="1" customHeight="1" x14ac:dyDescent="0.2">
      <c r="H96" s="357"/>
      <c r="I96" t="s">
        <v>490</v>
      </c>
    </row>
    <row r="97" spans="8:9" ht="15" hidden="1" customHeight="1" x14ac:dyDescent="0.2">
      <c r="H97" s="357"/>
      <c r="I97" t="s">
        <v>491</v>
      </c>
    </row>
    <row r="98" spans="8:9" ht="15" hidden="1" customHeight="1" x14ac:dyDescent="0.2">
      <c r="H98" s="357"/>
      <c r="I98" t="s">
        <v>492</v>
      </c>
    </row>
    <row r="99" spans="8:9" ht="15" hidden="1" customHeight="1" x14ac:dyDescent="0.2">
      <c r="H99" s="357"/>
    </row>
    <row r="100" spans="8:9" ht="15" hidden="1" customHeight="1" x14ac:dyDescent="0.2">
      <c r="H100" s="358"/>
    </row>
    <row r="101" spans="8:9" ht="15" hidden="1" customHeight="1" x14ac:dyDescent="0.2"/>
    <row r="102" spans="8:9" ht="15" customHeight="1" x14ac:dyDescent="0.2"/>
    <row r="103" spans="8:9" ht="15" customHeight="1" x14ac:dyDescent="0.2"/>
    <row r="104" spans="8:9" ht="15" customHeight="1" x14ac:dyDescent="0.2"/>
    <row r="105" spans="8:9" ht="15" customHeight="1" x14ac:dyDescent="0.2"/>
    <row r="106" spans="8:9" ht="15" customHeight="1" x14ac:dyDescent="0.2"/>
    <row r="107" spans="8:9" ht="15" customHeight="1" x14ac:dyDescent="0.2"/>
    <row r="108" spans="8:9" ht="15" customHeight="1" x14ac:dyDescent="0.2"/>
    <row r="109" spans="8:9" ht="15" customHeight="1" x14ac:dyDescent="0.2"/>
    <row r="110" spans="8:9" ht="15" customHeight="1" x14ac:dyDescent="0.2"/>
    <row r="111" spans="8:9" ht="15" customHeight="1" x14ac:dyDescent="0.2"/>
    <row r="112" spans="8:9"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sheetData>
  <dataValidations count="1">
    <dataValidation type="list" allowBlank="1" showInputMessage="1" showErrorMessage="1" errorTitle="Ongeldige invoer" error="Kies een optie uit de lijst._x000a_" sqref="H46:L48 H52:L54 H58:L59 H63:L65">
      <formula1>Lijsten_ja_nee_onbekend</formula1>
    </dataValidation>
  </dataValidations>
  <pageMargins left="0.7" right="0.7" top="0.75" bottom="0.75" header="0.3" footer="0.3"/>
  <pageSetup paperSize="0" fitToWidth="0" fitToHeight="0" orientation="landscape" horizontalDpi="0" verticalDpi="0" copies="0"/>
  <headerFooter>
    <oddFooter>&amp;L
&amp;1#&amp;10 Intern gebruik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baseColWidth="10" defaultColWidth="13.1640625" defaultRowHeight="14.5" x14ac:dyDescent="0.2"/>
  <cols>
    <col min="1" max="1" width="6.5" style="312" customWidth="1"/>
    <col min="2" max="2" width="4.1640625" style="312" customWidth="1"/>
    <col min="3" max="3" width="51.33203125" style="312" customWidth="1"/>
    <col min="4" max="4" width="93.5" style="312" customWidth="1"/>
    <col min="5" max="5" width="13.1640625" style="312" customWidth="1"/>
    <col min="6" max="6" width="9.1640625" style="312" customWidth="1"/>
    <col min="7" max="7" width="13.1640625" style="312" customWidth="1"/>
    <col min="8" max="16384" width="13.1640625" style="312"/>
  </cols>
  <sheetData>
    <row r="1" spans="1:11" ht="19" x14ac:dyDescent="0.25">
      <c r="A1" s="359" t="s">
        <v>493</v>
      </c>
      <c r="B1" s="360"/>
      <c r="C1" s="361"/>
      <c r="D1" s="361"/>
      <c r="E1" s="361"/>
      <c r="F1" s="361"/>
      <c r="G1" s="361"/>
      <c r="H1" s="361"/>
      <c r="I1" s="361"/>
      <c r="J1" s="361"/>
      <c r="K1" s="361"/>
    </row>
    <row r="2" spans="1:11" ht="15" x14ac:dyDescent="0.2">
      <c r="A2" s="8" t="s">
        <v>3</v>
      </c>
      <c r="B2" s="361"/>
      <c r="C2" s="361"/>
      <c r="D2" s="361"/>
      <c r="E2" s="361"/>
      <c r="F2" s="361"/>
      <c r="G2" s="361"/>
      <c r="H2" s="361"/>
      <c r="I2" s="361"/>
      <c r="J2" s="361"/>
      <c r="K2" s="361"/>
    </row>
    <row r="3" spans="1:11" ht="15" x14ac:dyDescent="0.2">
      <c r="A3" s="362" t="str">
        <f>'1__Eisen_-_Algemeen'!A3</f>
        <v>Versie 1.1 - Juli 2024</v>
      </c>
      <c r="B3" s="361"/>
      <c r="C3" s="361"/>
      <c r="D3" s="361"/>
      <c r="E3" s="361"/>
      <c r="F3" s="361"/>
      <c r="G3" s="361"/>
      <c r="H3" s="361"/>
      <c r="I3" s="361"/>
      <c r="J3" s="361"/>
      <c r="K3" s="361"/>
    </row>
    <row r="4" spans="1:11" ht="15" x14ac:dyDescent="0.2">
      <c r="A4" s="362" t="s">
        <v>7</v>
      </c>
      <c r="B4" s="361"/>
      <c r="C4" s="361"/>
      <c r="D4" s="361"/>
      <c r="E4" s="361"/>
      <c r="F4" s="361"/>
      <c r="G4" s="361"/>
      <c r="H4" s="361"/>
      <c r="I4" s="361"/>
      <c r="J4" s="361"/>
      <c r="K4" s="361"/>
    </row>
    <row r="5" spans="1:11" ht="16" x14ac:dyDescent="0.2">
      <c r="A5" s="363" t="s">
        <v>494</v>
      </c>
      <c r="B5" s="363"/>
      <c r="C5" s="364" t="s">
        <v>495</v>
      </c>
      <c r="D5" s="365" t="s">
        <v>496</v>
      </c>
      <c r="E5" s="361"/>
      <c r="F5" s="361"/>
      <c r="G5" s="361"/>
      <c r="H5" s="361"/>
      <c r="I5" s="361"/>
      <c r="J5" s="361"/>
      <c r="K5" s="361"/>
    </row>
    <row r="6" spans="1:11" ht="15" x14ac:dyDescent="0.2">
      <c r="A6" s="366"/>
      <c r="B6" s="367" t="s">
        <v>497</v>
      </c>
      <c r="E6" s="361"/>
      <c r="F6" s="361"/>
      <c r="G6" s="361"/>
      <c r="H6" s="361"/>
      <c r="I6" s="361"/>
      <c r="J6" s="361"/>
      <c r="K6" s="361"/>
    </row>
    <row r="7" spans="1:11" ht="15" x14ac:dyDescent="0.2">
      <c r="A7" s="368">
        <v>1</v>
      </c>
      <c r="C7" s="369" t="s">
        <v>498</v>
      </c>
      <c r="D7" s="369" t="s">
        <v>499</v>
      </c>
      <c r="E7" s="361"/>
      <c r="F7" s="361"/>
      <c r="G7" s="361"/>
      <c r="H7" s="361"/>
      <c r="I7" s="361"/>
      <c r="J7" s="361"/>
      <c r="K7" s="361"/>
    </row>
    <row r="8" spans="1:11" ht="15" x14ac:dyDescent="0.2">
      <c r="A8" s="366">
        <v>2</v>
      </c>
      <c r="C8" s="369" t="s">
        <v>500</v>
      </c>
      <c r="D8" s="369" t="s">
        <v>501</v>
      </c>
      <c r="E8" s="361"/>
      <c r="F8" s="361"/>
      <c r="G8" s="361"/>
      <c r="H8" s="361"/>
      <c r="I8" s="361"/>
      <c r="J8" s="361"/>
      <c r="K8" s="361"/>
    </row>
    <row r="9" spans="1:11" ht="15" x14ac:dyDescent="0.2">
      <c r="A9" s="368"/>
      <c r="B9" s="367" t="s">
        <v>502</v>
      </c>
      <c r="C9" s="369"/>
      <c r="D9" s="369"/>
      <c r="E9" s="361"/>
      <c r="F9" s="361"/>
      <c r="G9" s="361"/>
      <c r="H9" s="361"/>
      <c r="I9" s="361"/>
      <c r="J9" s="361"/>
      <c r="K9" s="361"/>
    </row>
    <row r="10" spans="1:11" ht="15" x14ac:dyDescent="0.2">
      <c r="A10" s="366">
        <v>3</v>
      </c>
      <c r="C10" s="369" t="s">
        <v>503</v>
      </c>
      <c r="D10" s="369"/>
      <c r="E10" s="361"/>
      <c r="F10" s="361"/>
      <c r="G10" s="361"/>
      <c r="H10" s="361"/>
      <c r="I10" s="361"/>
      <c r="J10" s="361"/>
      <c r="K10" s="361"/>
    </row>
    <row r="11" spans="1:11" ht="15" x14ac:dyDescent="0.2">
      <c r="A11" s="368">
        <v>4</v>
      </c>
      <c r="C11" s="369" t="s">
        <v>504</v>
      </c>
      <c r="D11" s="369" t="s">
        <v>505</v>
      </c>
      <c r="E11" s="361"/>
      <c r="F11" s="361"/>
      <c r="G11" s="361"/>
      <c r="H11" s="361"/>
      <c r="I11" s="361"/>
      <c r="J11" s="361"/>
      <c r="K11" s="361"/>
    </row>
    <row r="12" spans="1:11" ht="16" x14ac:dyDescent="0.2">
      <c r="A12" s="366">
        <v>5</v>
      </c>
      <c r="C12" s="370" t="s">
        <v>506</v>
      </c>
      <c r="D12" s="369" t="s">
        <v>507</v>
      </c>
      <c r="E12" s="361"/>
      <c r="F12" s="361"/>
      <c r="G12" s="361"/>
      <c r="H12" s="361"/>
      <c r="I12" s="361"/>
      <c r="J12" s="361"/>
      <c r="K12" s="361"/>
    </row>
    <row r="13" spans="1:11" ht="32" x14ac:dyDescent="0.2">
      <c r="A13" s="368">
        <v>6</v>
      </c>
      <c r="C13" s="370" t="s">
        <v>508</v>
      </c>
      <c r="D13" s="369" t="s">
        <v>509</v>
      </c>
      <c r="E13" s="361"/>
      <c r="F13" s="361"/>
      <c r="G13" s="361"/>
      <c r="H13" s="361"/>
      <c r="I13" s="361"/>
      <c r="J13" s="361"/>
      <c r="K13" s="361"/>
    </row>
    <row r="14" spans="1:11" ht="15" x14ac:dyDescent="0.2">
      <c r="A14" s="366"/>
      <c r="B14" s="367" t="s">
        <v>510</v>
      </c>
      <c r="C14" s="369"/>
      <c r="D14" s="369"/>
      <c r="E14" s="361"/>
      <c r="F14" s="361"/>
      <c r="G14" s="361"/>
      <c r="H14" s="361"/>
      <c r="I14" s="361"/>
      <c r="J14" s="361"/>
      <c r="K14" s="361"/>
    </row>
    <row r="15" spans="1:11" ht="15" x14ac:dyDescent="0.2">
      <c r="A15" s="368">
        <v>7</v>
      </c>
      <c r="C15" s="369" t="s">
        <v>511</v>
      </c>
      <c r="D15" s="369"/>
      <c r="E15" s="361"/>
      <c r="F15" s="361"/>
      <c r="G15" s="361"/>
      <c r="H15" s="361"/>
      <c r="I15" s="361"/>
      <c r="J15" s="361"/>
      <c r="K15" s="361"/>
    </row>
    <row r="16" spans="1:11" ht="15" x14ac:dyDescent="0.2">
      <c r="A16" s="366"/>
      <c r="B16" s="367" t="s">
        <v>512</v>
      </c>
      <c r="C16" s="369"/>
      <c r="D16" s="369"/>
      <c r="E16" s="361"/>
      <c r="F16" s="361"/>
      <c r="G16" s="361"/>
      <c r="H16" s="361"/>
      <c r="I16" s="361"/>
      <c r="J16" s="361"/>
      <c r="K16" s="361"/>
    </row>
    <row r="17" spans="1:11" ht="32" x14ac:dyDescent="0.2">
      <c r="A17" s="368">
        <v>8</v>
      </c>
      <c r="B17" s="367"/>
      <c r="C17" s="369" t="s">
        <v>513</v>
      </c>
      <c r="D17" s="370" t="s">
        <v>514</v>
      </c>
      <c r="E17" s="361"/>
      <c r="F17" s="361"/>
      <c r="G17" s="361"/>
      <c r="H17" s="361"/>
      <c r="I17" s="361"/>
      <c r="J17" s="361"/>
      <c r="K17" s="361"/>
    </row>
    <row r="18" spans="1:11" ht="64" x14ac:dyDescent="0.2">
      <c r="A18" s="366">
        <v>9</v>
      </c>
      <c r="C18" s="369" t="s">
        <v>515</v>
      </c>
      <c r="D18" s="370" t="s">
        <v>516</v>
      </c>
      <c r="E18" s="361"/>
      <c r="F18" s="361"/>
      <c r="G18" s="361"/>
      <c r="H18" s="361"/>
      <c r="I18" s="361"/>
      <c r="J18" s="361"/>
      <c r="K18" s="361"/>
    </row>
    <row r="19" spans="1:11" ht="15" x14ac:dyDescent="0.2">
      <c r="A19" s="368">
        <v>10</v>
      </c>
      <c r="C19" s="369" t="s">
        <v>517</v>
      </c>
      <c r="D19" s="369" t="s">
        <v>518</v>
      </c>
      <c r="E19" s="361"/>
      <c r="F19" s="361"/>
      <c r="G19" s="361"/>
      <c r="H19" s="361"/>
      <c r="I19" s="361"/>
      <c r="J19" s="361"/>
      <c r="K19" s="361"/>
    </row>
    <row r="20" spans="1:11" ht="32" x14ac:dyDescent="0.2">
      <c r="A20" s="366">
        <v>11</v>
      </c>
      <c r="C20" s="369" t="s">
        <v>519</v>
      </c>
      <c r="D20" s="370" t="s">
        <v>520</v>
      </c>
      <c r="E20" s="361"/>
      <c r="F20" s="361"/>
      <c r="G20" s="361"/>
      <c r="H20" s="361"/>
      <c r="I20" s="361"/>
      <c r="J20" s="361"/>
      <c r="K20" s="361"/>
    </row>
    <row r="21" spans="1:11" ht="15" x14ac:dyDescent="0.2">
      <c r="A21" s="361"/>
      <c r="B21" s="361"/>
      <c r="C21" s="361"/>
      <c r="D21" s="361"/>
      <c r="E21" s="361"/>
      <c r="F21" s="361"/>
      <c r="G21" s="361"/>
      <c r="H21" s="361"/>
      <c r="I21" s="361"/>
      <c r="J21" s="361"/>
      <c r="K21" s="361"/>
    </row>
    <row r="22" spans="1:11" ht="15" x14ac:dyDescent="0.2">
      <c r="A22" s="361"/>
      <c r="B22" s="361"/>
      <c r="C22" s="361"/>
      <c r="D22" s="361"/>
      <c r="E22" s="361"/>
      <c r="F22" s="361"/>
      <c r="G22" s="361"/>
      <c r="H22" s="361"/>
      <c r="I22" s="361"/>
      <c r="J22" s="361"/>
      <c r="K22" s="361"/>
    </row>
    <row r="23" spans="1:11" ht="15" x14ac:dyDescent="0.2">
      <c r="A23" s="361"/>
      <c r="B23" s="361"/>
      <c r="C23" s="361"/>
      <c r="D23" s="361"/>
      <c r="E23" s="361"/>
      <c r="F23" s="361"/>
      <c r="G23" s="361"/>
      <c r="H23" s="361"/>
      <c r="I23" s="361"/>
      <c r="J23" s="361"/>
      <c r="K23" s="361"/>
    </row>
    <row r="24" spans="1:11" ht="15" x14ac:dyDescent="0.2">
      <c r="A24" s="361"/>
      <c r="B24" s="361"/>
      <c r="C24" s="361"/>
      <c r="D24" s="361"/>
      <c r="E24" s="361"/>
      <c r="F24" s="361"/>
      <c r="G24" s="361"/>
      <c r="H24" s="361"/>
      <c r="I24" s="361"/>
      <c r="J24" s="361"/>
      <c r="K24" s="361"/>
    </row>
    <row r="25" spans="1:11" ht="15" x14ac:dyDescent="0.2">
      <c r="A25" s="361"/>
      <c r="B25" s="361"/>
      <c r="C25" s="361"/>
      <c r="D25" s="361"/>
      <c r="E25" s="361"/>
      <c r="F25" s="361"/>
      <c r="G25" s="361"/>
      <c r="H25" s="361"/>
      <c r="I25" s="361"/>
      <c r="J25" s="361"/>
      <c r="K25" s="361"/>
    </row>
    <row r="26" spans="1:11" ht="15" x14ac:dyDescent="0.2">
      <c r="A26" s="361"/>
      <c r="B26" s="361"/>
      <c r="C26" s="361"/>
      <c r="D26" s="361"/>
      <c r="E26" s="361"/>
      <c r="F26" s="361"/>
      <c r="G26" s="361"/>
      <c r="H26" s="361"/>
      <c r="I26" s="361"/>
      <c r="J26" s="361"/>
      <c r="K26" s="361"/>
    </row>
    <row r="27" spans="1:11" ht="15" x14ac:dyDescent="0.2">
      <c r="A27" s="361"/>
      <c r="B27" s="361"/>
      <c r="C27" s="361"/>
      <c r="D27" s="361"/>
      <c r="E27" s="361"/>
      <c r="F27" s="361"/>
      <c r="G27" s="361"/>
      <c r="H27" s="361"/>
      <c r="I27" s="361"/>
      <c r="J27" s="361"/>
      <c r="K27" s="361"/>
    </row>
    <row r="28" spans="1:11" ht="15" x14ac:dyDescent="0.2">
      <c r="A28" s="361"/>
      <c r="B28" s="361"/>
      <c r="C28" s="361"/>
      <c r="D28" s="361"/>
      <c r="E28" s="361"/>
      <c r="F28" s="361"/>
      <c r="G28" s="361"/>
      <c r="H28" s="361"/>
      <c r="I28" s="361"/>
      <c r="J28" s="361"/>
      <c r="K28" s="361"/>
    </row>
    <row r="29" spans="1:11" ht="15" x14ac:dyDescent="0.2">
      <c r="A29" s="361"/>
      <c r="B29" s="361"/>
      <c r="C29" s="361"/>
      <c r="D29" s="361"/>
      <c r="E29" s="361"/>
      <c r="F29" s="361"/>
      <c r="G29" s="361"/>
      <c r="H29" s="361"/>
      <c r="I29" s="361"/>
      <c r="J29" s="361"/>
      <c r="K29" s="361"/>
    </row>
  </sheetData>
  <pageMargins left="0.7" right="0.7" top="0.75" bottom="0.75" header="0.3" footer="0.3"/>
  <pageSetup paperSize="0" fitToWidth="0" fitToHeight="0" orientation="landscape" horizontalDpi="0" verticalDpi="0" copies="0"/>
  <headerFooter>
    <oddFooter>&amp;L
&amp;1#&amp;10 Intern gebruik</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workbookViewId="0"/>
  </sheetViews>
  <sheetFormatPr baseColWidth="10" defaultColWidth="11.5" defaultRowHeight="14.5" outlineLevelCol="1" x14ac:dyDescent="0.2"/>
  <cols>
    <col min="1" max="1" width="5.5" style="7" customWidth="1"/>
    <col min="2" max="2" width="50.83203125" style="48" customWidth="1"/>
    <col min="3" max="3" width="15.83203125" style="48" customWidth="1"/>
    <col min="4" max="4" width="6.83203125" style="48" customWidth="1" outlineLevel="1"/>
    <col min="5" max="5" width="61.5" style="48" customWidth="1" outlineLevel="1"/>
    <col min="6" max="6" width="54" style="48" customWidth="1"/>
    <col min="7" max="7" width="35.1640625" style="49" customWidth="1"/>
    <col min="8" max="8" width="56.6640625" style="50" customWidth="1"/>
    <col min="9" max="9" width="5.33203125" style="7" customWidth="1"/>
    <col min="10" max="10" width="52.83203125" style="7" customWidth="1"/>
    <col min="11" max="11" width="11.5" style="7" customWidth="1"/>
    <col min="12" max="16384" width="11.5" style="7"/>
  </cols>
  <sheetData>
    <row r="1" spans="1:15" ht="16" x14ac:dyDescent="0.15">
      <c r="A1" s="2" t="s">
        <v>1</v>
      </c>
      <c r="B1" s="3"/>
      <c r="C1" s="3"/>
      <c r="D1" s="3"/>
      <c r="E1" s="4" t="s">
        <v>2</v>
      </c>
      <c r="F1" s="5"/>
      <c r="G1" s="5"/>
      <c r="H1" s="5"/>
      <c r="I1" s="5"/>
      <c r="J1" s="6"/>
      <c r="K1" s="6"/>
      <c r="L1" s="6"/>
      <c r="M1" s="6"/>
      <c r="N1" s="6"/>
      <c r="O1" s="6"/>
    </row>
    <row r="2" spans="1:15" s="13" customFormat="1" ht="12" x14ac:dyDescent="0.2">
      <c r="A2" s="8" t="s">
        <v>3</v>
      </c>
      <c r="B2" s="9"/>
      <c r="C2" s="9"/>
      <c r="D2" s="9"/>
      <c r="E2" s="10" t="s">
        <v>4</v>
      </c>
      <c r="F2" s="9"/>
      <c r="G2" s="11"/>
      <c r="H2" s="9"/>
      <c r="I2" s="12"/>
      <c r="J2" s="12"/>
      <c r="K2" s="12"/>
      <c r="L2" s="12"/>
      <c r="M2" s="12"/>
      <c r="N2" s="12"/>
      <c r="O2" s="12"/>
    </row>
    <row r="3" spans="1:15" s="13" customFormat="1" ht="11" x14ac:dyDescent="0.2">
      <c r="A3" s="14" t="s">
        <v>5</v>
      </c>
      <c r="B3" s="9"/>
      <c r="C3" s="9"/>
      <c r="D3" s="9"/>
      <c r="E3" s="15" t="s">
        <v>6</v>
      </c>
      <c r="F3" s="9"/>
      <c r="G3" s="11"/>
      <c r="H3" s="9"/>
      <c r="I3" s="12"/>
      <c r="J3" s="12"/>
      <c r="K3" s="12"/>
      <c r="L3" s="12"/>
      <c r="M3" s="12"/>
      <c r="N3" s="12"/>
      <c r="O3" s="12"/>
    </row>
    <row r="4" spans="1:15" s="13" customFormat="1" ht="11" x14ac:dyDescent="0.2">
      <c r="A4" s="14" t="s">
        <v>7</v>
      </c>
      <c r="B4" s="9"/>
      <c r="C4" s="9"/>
      <c r="D4" s="9"/>
      <c r="E4" s="15" t="s">
        <v>8</v>
      </c>
      <c r="F4" s="9"/>
      <c r="G4" s="11"/>
      <c r="H4" s="9"/>
      <c r="I4" s="12"/>
      <c r="J4" s="12"/>
      <c r="K4" s="12"/>
      <c r="L4" s="12"/>
      <c r="M4" s="12"/>
      <c r="N4" s="12"/>
      <c r="O4" s="12"/>
    </row>
    <row r="5" spans="1:15" s="13" customFormat="1" ht="11" x14ac:dyDescent="0.2">
      <c r="A5" s="14" t="s">
        <v>9</v>
      </c>
      <c r="B5" s="9"/>
      <c r="C5" s="9"/>
      <c r="D5" s="9"/>
      <c r="E5" s="15" t="s">
        <v>10</v>
      </c>
      <c r="F5" s="9"/>
      <c r="G5" s="11"/>
      <c r="H5" s="9"/>
      <c r="I5" s="12"/>
      <c r="J5" s="12"/>
      <c r="K5" s="12"/>
      <c r="L5" s="12"/>
      <c r="M5" s="12"/>
      <c r="N5" s="12"/>
      <c r="O5" s="12"/>
    </row>
    <row r="6" spans="1:15" ht="32" customHeight="1" x14ac:dyDescent="0.2">
      <c r="A6" s="16" t="s">
        <v>11</v>
      </c>
      <c r="B6" s="16" t="s">
        <v>12</v>
      </c>
      <c r="C6" s="16" t="s">
        <v>13</v>
      </c>
      <c r="D6" s="17" t="s">
        <v>14</v>
      </c>
      <c r="E6" s="16" t="s">
        <v>15</v>
      </c>
      <c r="F6" s="16" t="s">
        <v>16</v>
      </c>
      <c r="G6" s="18" t="s">
        <v>17</v>
      </c>
      <c r="H6" s="16" t="s">
        <v>18</v>
      </c>
      <c r="I6" s="19"/>
    </row>
    <row r="7" spans="1:15" ht="15" x14ac:dyDescent="0.2">
      <c r="A7" s="20" t="s">
        <v>19</v>
      </c>
      <c r="B7" s="21"/>
      <c r="C7" s="21"/>
      <c r="D7" s="21"/>
      <c r="E7" s="21"/>
      <c r="F7" s="21"/>
      <c r="G7" s="22"/>
      <c r="H7" s="22"/>
      <c r="I7" s="23"/>
    </row>
    <row r="8" spans="1:15" ht="26" x14ac:dyDescent="0.2">
      <c r="A8" s="24" t="str">
        <f>IF(OR(ISBLANK(B8),B8=""),"",_xlfn.CONCAT("1.",I8))</f>
        <v>1.1</v>
      </c>
      <c r="B8" s="25" t="s">
        <v>20</v>
      </c>
      <c r="C8" s="26" t="s">
        <v>21</v>
      </c>
      <c r="D8" s="25"/>
      <c r="E8" s="24" t="s">
        <v>22</v>
      </c>
      <c r="F8" s="24"/>
      <c r="G8" s="24"/>
      <c r="H8" s="24"/>
      <c r="I8" s="27">
        <v>1</v>
      </c>
    </row>
    <row r="9" spans="1:15" ht="16" customHeight="1" x14ac:dyDescent="0.2">
      <c r="A9" s="24" t="str">
        <f>IF(OR(ISBLANK(B9),B9=""),"",_xlfn.CONCAT("1.",I9))</f>
        <v/>
      </c>
      <c r="B9" s="24"/>
      <c r="C9" s="24"/>
      <c r="D9" s="24"/>
      <c r="E9" s="24"/>
      <c r="F9" s="24"/>
      <c r="G9" s="25"/>
      <c r="H9" s="24"/>
      <c r="I9" s="27">
        <f t="shared" ref="I9:I42" si="0">IF(OR(ISBLANK(B9),B9=""),I8,I8+1)</f>
        <v>1</v>
      </c>
    </row>
    <row r="10" spans="1:15" ht="15" x14ac:dyDescent="0.2">
      <c r="A10" s="20" t="s">
        <v>23</v>
      </c>
      <c r="B10" s="21"/>
      <c r="C10" s="21"/>
      <c r="D10" s="21"/>
      <c r="E10" s="21"/>
      <c r="F10" s="21"/>
      <c r="G10" s="22"/>
      <c r="H10" s="22"/>
      <c r="I10" s="27">
        <f t="shared" si="0"/>
        <v>1</v>
      </c>
    </row>
    <row r="11" spans="1:15" ht="39" x14ac:dyDescent="0.2">
      <c r="A11" s="24" t="str">
        <f>IF(OR(ISBLANK(B11),B11=""),"",_xlfn.CONCAT("1.",I11))</f>
        <v>1.2</v>
      </c>
      <c r="B11" s="25" t="s">
        <v>24</v>
      </c>
      <c r="C11" s="26" t="s">
        <v>25</v>
      </c>
      <c r="D11" s="25"/>
      <c r="E11" s="24"/>
      <c r="F11" s="24" t="s">
        <v>26</v>
      </c>
      <c r="G11" s="24" t="s">
        <v>27</v>
      </c>
      <c r="H11" s="24" t="s">
        <v>28</v>
      </c>
      <c r="I11" s="27">
        <f t="shared" si="0"/>
        <v>2</v>
      </c>
    </row>
    <row r="12" spans="1:15" ht="52" x14ac:dyDescent="0.2">
      <c r="A12" s="24" t="str">
        <f>IF(OR(ISBLANK(B12),B12=""),"",_xlfn.CONCAT("1.",I12))</f>
        <v>1.3</v>
      </c>
      <c r="B12" s="25" t="s">
        <v>29</v>
      </c>
      <c r="C12" s="26" t="s">
        <v>30</v>
      </c>
      <c r="D12" s="25"/>
      <c r="E12" s="24"/>
      <c r="F12" s="24" t="s">
        <v>31</v>
      </c>
      <c r="G12" s="24" t="s">
        <v>32</v>
      </c>
      <c r="H12" s="24" t="s">
        <v>28</v>
      </c>
      <c r="I12" s="27">
        <f t="shared" si="0"/>
        <v>3</v>
      </c>
    </row>
    <row r="13" spans="1:15" ht="39" x14ac:dyDescent="0.2">
      <c r="A13" s="24" t="str">
        <f>IF(OR(ISBLANK(B13),B13=""),"",_xlfn.CONCAT("1.",I13))</f>
        <v>1.4</v>
      </c>
      <c r="B13" s="28" t="str">
        <f>IF(D13=0,"","Het AC-vermogen van de PV installatie dient kleiner te zijn dan:")</f>
        <v>Het AC-vermogen van de PV installatie dient kleiner te zijn dan:</v>
      </c>
      <c r="C13" s="26" t="s">
        <v>33</v>
      </c>
      <c r="D13" s="29" t="s">
        <v>34</v>
      </c>
      <c r="E13" s="24" t="s">
        <v>35</v>
      </c>
      <c r="F13" s="24" t="s">
        <v>36</v>
      </c>
      <c r="G13" s="24" t="s">
        <v>37</v>
      </c>
      <c r="H13" s="24" t="s">
        <v>28</v>
      </c>
      <c r="I13" s="27">
        <f t="shared" si="0"/>
        <v>4</v>
      </c>
    </row>
    <row r="14" spans="1:15" ht="26" x14ac:dyDescent="0.2">
      <c r="A14" s="24" t="str">
        <f>IF(OR(ISBLANK(B14),B14=""),"",_xlfn.CONCAT("1.",I14))</f>
        <v>1.5</v>
      </c>
      <c r="B14" s="28" t="str">
        <f>IF(D14=0,"","Onderhoud en monitoring")</f>
        <v>Onderhoud en monitoring</v>
      </c>
      <c r="C14" s="26" t="s">
        <v>38</v>
      </c>
      <c r="D14" s="29" t="s">
        <v>34</v>
      </c>
      <c r="E14" s="24" t="s">
        <v>39</v>
      </c>
      <c r="F14" s="24"/>
      <c r="G14" s="25"/>
      <c r="H14" s="24" t="s">
        <v>28</v>
      </c>
      <c r="I14" s="27">
        <f t="shared" si="0"/>
        <v>5</v>
      </c>
    </row>
    <row r="15" spans="1:15" ht="19" customHeight="1" x14ac:dyDescent="0.25">
      <c r="A15" s="24"/>
      <c r="B15" s="25"/>
      <c r="C15" s="25"/>
      <c r="D15" s="25"/>
      <c r="E15" s="24"/>
      <c r="F15" s="30"/>
      <c r="G15" s="24"/>
      <c r="H15" s="24"/>
      <c r="I15" s="27">
        <f t="shared" si="0"/>
        <v>5</v>
      </c>
    </row>
    <row r="16" spans="1:15" ht="15" x14ac:dyDescent="0.2">
      <c r="A16" s="20" t="s">
        <v>40</v>
      </c>
      <c r="B16" s="21"/>
      <c r="C16" s="21"/>
      <c r="D16" s="21"/>
      <c r="E16" s="21"/>
      <c r="F16" s="21"/>
      <c r="G16" s="22"/>
      <c r="H16" s="22"/>
      <c r="I16" s="27">
        <f t="shared" si="0"/>
        <v>5</v>
      </c>
    </row>
    <row r="17" spans="1:9" ht="26" x14ac:dyDescent="0.25">
      <c r="A17" s="24" t="str">
        <f t="shared" ref="A17:A22" si="1">IF(OR(ISBLANK(B17),B17=""),"",_xlfn.CONCAT("1.",I17))</f>
        <v>1.6</v>
      </c>
      <c r="B17" s="25" t="s">
        <v>41</v>
      </c>
      <c r="C17" s="25"/>
      <c r="D17" s="25"/>
      <c r="E17" s="24"/>
      <c r="F17" s="30"/>
      <c r="G17" s="24" t="s">
        <v>37</v>
      </c>
      <c r="H17" s="24" t="s">
        <v>42</v>
      </c>
      <c r="I17" s="27">
        <f t="shared" si="0"/>
        <v>6</v>
      </c>
    </row>
    <row r="18" spans="1:9" ht="52" x14ac:dyDescent="0.2">
      <c r="A18" s="24" t="str">
        <f t="shared" si="1"/>
        <v>1.7</v>
      </c>
      <c r="B18" s="25" t="s">
        <v>43</v>
      </c>
      <c r="C18" s="25"/>
      <c r="D18" s="25"/>
      <c r="E18" s="24"/>
      <c r="F18" s="31" t="s">
        <v>44</v>
      </c>
      <c r="G18" s="24" t="s">
        <v>45</v>
      </c>
      <c r="H18" s="32"/>
      <c r="I18" s="27">
        <f t="shared" si="0"/>
        <v>7</v>
      </c>
    </row>
    <row r="19" spans="1:9" ht="65" x14ac:dyDescent="0.2">
      <c r="A19" s="24" t="str">
        <f t="shared" si="1"/>
        <v>1.8</v>
      </c>
      <c r="B19" s="25" t="s">
        <v>46</v>
      </c>
      <c r="C19" s="25"/>
      <c r="D19" s="25"/>
      <c r="E19" s="24"/>
      <c r="F19" s="24" t="s">
        <v>47</v>
      </c>
      <c r="G19" s="24"/>
      <c r="H19" s="24"/>
      <c r="I19" s="27">
        <f t="shared" si="0"/>
        <v>8</v>
      </c>
    </row>
    <row r="20" spans="1:9" ht="26" x14ac:dyDescent="0.2">
      <c r="A20" s="24" t="str">
        <f t="shared" si="1"/>
        <v>1.9</v>
      </c>
      <c r="B20" s="25" t="s">
        <v>48</v>
      </c>
      <c r="C20" s="25"/>
      <c r="D20" s="25"/>
      <c r="E20" s="24"/>
      <c r="F20" s="24" t="s">
        <v>49</v>
      </c>
      <c r="G20" s="24"/>
      <c r="H20" s="24"/>
      <c r="I20" s="27">
        <f t="shared" si="0"/>
        <v>9</v>
      </c>
    </row>
    <row r="21" spans="1:9" ht="65" x14ac:dyDescent="0.2">
      <c r="A21" s="24" t="str">
        <f t="shared" si="1"/>
        <v>1.10</v>
      </c>
      <c r="B21" s="25" t="s">
        <v>50</v>
      </c>
      <c r="C21" s="25"/>
      <c r="D21" s="25"/>
      <c r="E21" s="33"/>
      <c r="F21" s="24" t="s">
        <v>51</v>
      </c>
      <c r="G21" s="33"/>
      <c r="H21" s="24"/>
      <c r="I21" s="27">
        <f t="shared" si="0"/>
        <v>10</v>
      </c>
    </row>
    <row r="22" spans="1:9" ht="15" x14ac:dyDescent="0.2">
      <c r="A22" s="24" t="str">
        <f t="shared" si="1"/>
        <v/>
      </c>
      <c r="B22" s="25"/>
      <c r="C22" s="25"/>
      <c r="D22" s="25"/>
      <c r="E22" s="33"/>
      <c r="F22" s="24"/>
      <c r="G22" s="33"/>
      <c r="H22" s="24"/>
      <c r="I22" s="27">
        <f t="shared" si="0"/>
        <v>10</v>
      </c>
    </row>
    <row r="23" spans="1:9" ht="15" x14ac:dyDescent="0.2">
      <c r="A23" s="20" t="s">
        <v>52</v>
      </c>
      <c r="B23" s="21"/>
      <c r="C23" s="21"/>
      <c r="D23" s="21"/>
      <c r="E23" s="21"/>
      <c r="F23" s="21"/>
      <c r="G23" s="22"/>
      <c r="H23" s="22"/>
      <c r="I23" s="27">
        <f t="shared" si="0"/>
        <v>10</v>
      </c>
    </row>
    <row r="24" spans="1:9" ht="39" x14ac:dyDescent="0.2">
      <c r="A24" s="24" t="str">
        <f>IF(OR(ISBLANK(B24),B24=""),"",_xlfn.CONCAT("1.",I24))</f>
        <v>1.11</v>
      </c>
      <c r="B24" s="34" t="s">
        <v>53</v>
      </c>
      <c r="C24" s="25"/>
      <c r="D24" s="25"/>
      <c r="E24" s="35"/>
      <c r="F24" s="31" t="s">
        <v>54</v>
      </c>
      <c r="G24" s="32" t="s">
        <v>55</v>
      </c>
      <c r="H24" s="32" t="s">
        <v>56</v>
      </c>
      <c r="I24" s="27">
        <f t="shared" si="0"/>
        <v>11</v>
      </c>
    </row>
    <row r="25" spans="1:9" ht="52" x14ac:dyDescent="0.2">
      <c r="A25" s="24" t="str">
        <f>IF(OR(ISBLANK(B25),B25=""),"",_xlfn.CONCAT("1.",I25))</f>
        <v>1.12</v>
      </c>
      <c r="B25" s="34" t="s">
        <v>57</v>
      </c>
      <c r="C25" s="36" t="s">
        <v>58</v>
      </c>
      <c r="D25" s="25"/>
      <c r="E25" s="33"/>
      <c r="F25" s="24" t="s">
        <v>59</v>
      </c>
      <c r="G25" s="24" t="s">
        <v>60</v>
      </c>
      <c r="H25" s="24"/>
      <c r="I25" s="27">
        <f t="shared" si="0"/>
        <v>12</v>
      </c>
    </row>
    <row r="26" spans="1:9" ht="15" x14ac:dyDescent="0.2">
      <c r="A26" s="24" t="str">
        <f>IF(OR(ISBLANK(B26),B26=""),"",_xlfn.CONCAT("1.",I26))</f>
        <v/>
      </c>
      <c r="B26" s="25"/>
      <c r="C26" s="24"/>
      <c r="D26" s="25"/>
      <c r="E26" s="24"/>
      <c r="F26" s="24"/>
      <c r="G26" s="24"/>
      <c r="H26" s="24"/>
      <c r="I26" s="27">
        <f t="shared" si="0"/>
        <v>12</v>
      </c>
    </row>
    <row r="27" spans="1:9" ht="15" x14ac:dyDescent="0.2">
      <c r="A27" s="20" t="s">
        <v>61</v>
      </c>
      <c r="B27" s="21"/>
      <c r="C27" s="21"/>
      <c r="D27" s="21"/>
      <c r="E27" s="21"/>
      <c r="F27" s="21"/>
      <c r="G27" s="22"/>
      <c r="H27" s="22"/>
      <c r="I27" s="27">
        <f t="shared" si="0"/>
        <v>12</v>
      </c>
    </row>
    <row r="28" spans="1:9" ht="65" x14ac:dyDescent="0.2">
      <c r="A28" s="24" t="str">
        <f>IF(OR(ISBLANK(B28),B28=""),"",_xlfn.CONCAT("1.",I28))</f>
        <v>1.13</v>
      </c>
      <c r="B28" s="25" t="s">
        <v>62</v>
      </c>
      <c r="C28" s="37" t="s">
        <v>63</v>
      </c>
      <c r="D28" s="25"/>
      <c r="E28" s="38" t="s">
        <v>64</v>
      </c>
      <c r="F28" s="24"/>
      <c r="G28" s="39" t="s">
        <v>65</v>
      </c>
      <c r="H28" s="24" t="s">
        <v>66</v>
      </c>
      <c r="I28" s="27">
        <f t="shared" si="0"/>
        <v>13</v>
      </c>
    </row>
    <row r="29" spans="1:9" ht="26" x14ac:dyDescent="0.2">
      <c r="A29" s="24" t="str">
        <f>IF(OR(ISBLANK(B29),B29=""),"",_xlfn.CONCAT("1.",I29))</f>
        <v>1.14</v>
      </c>
      <c r="B29" s="25" t="s">
        <v>67</v>
      </c>
      <c r="C29" s="37" t="s">
        <v>68</v>
      </c>
      <c r="D29" s="25"/>
      <c r="E29" s="24" t="s">
        <v>69</v>
      </c>
      <c r="F29" s="24"/>
      <c r="G29" s="24" t="s">
        <v>70</v>
      </c>
      <c r="H29" s="24" t="s">
        <v>66</v>
      </c>
      <c r="I29" s="27">
        <f t="shared" si="0"/>
        <v>14</v>
      </c>
    </row>
    <row r="30" spans="1:9" ht="15" x14ac:dyDescent="0.2">
      <c r="A30" s="24" t="str">
        <f>IF(OR(ISBLANK(B30),B30=""),"",_xlfn.CONCAT("1.",I30))</f>
        <v/>
      </c>
      <c r="B30" s="25"/>
      <c r="C30" s="25"/>
      <c r="D30" s="25"/>
      <c r="E30" s="24"/>
      <c r="F30" s="24"/>
      <c r="G30" s="25"/>
      <c r="H30" s="24"/>
      <c r="I30" s="27">
        <f t="shared" si="0"/>
        <v>14</v>
      </c>
    </row>
    <row r="31" spans="1:9" ht="15" x14ac:dyDescent="0.2">
      <c r="A31" s="20" t="s">
        <v>71</v>
      </c>
      <c r="B31" s="21"/>
      <c r="C31" s="21"/>
      <c r="D31" s="21"/>
      <c r="E31" s="21"/>
      <c r="F31" s="21"/>
      <c r="G31" s="22"/>
      <c r="H31" s="22"/>
      <c r="I31" s="27">
        <f t="shared" si="0"/>
        <v>14</v>
      </c>
    </row>
    <row r="32" spans="1:9" ht="91" x14ac:dyDescent="0.2">
      <c r="A32" s="24" t="str">
        <f>IF(OR(ISBLANK(B32),B32=""),"",_xlfn.CONCAT("1.",I32))</f>
        <v>1.15</v>
      </c>
      <c r="B32" s="40" t="s">
        <v>72</v>
      </c>
      <c r="C32" s="25"/>
      <c r="D32" s="40"/>
      <c r="E32" s="24" t="s">
        <v>73</v>
      </c>
      <c r="F32" s="24" t="s">
        <v>74</v>
      </c>
      <c r="G32" s="24" t="s">
        <v>75</v>
      </c>
      <c r="H32" s="24"/>
      <c r="I32" s="27">
        <f t="shared" si="0"/>
        <v>15</v>
      </c>
    </row>
    <row r="33" spans="1:9" ht="15" x14ac:dyDescent="0.2">
      <c r="A33" s="24" t="str">
        <f>IF(OR(ISBLANK(B33),B33=""),"",_xlfn.CONCAT("1.",I33))</f>
        <v/>
      </c>
      <c r="B33" s="40"/>
      <c r="C33" s="25"/>
      <c r="D33" s="40"/>
      <c r="E33" s="24"/>
      <c r="F33" s="24"/>
      <c r="G33" s="25"/>
      <c r="H33" s="24"/>
      <c r="I33" s="27">
        <f t="shared" si="0"/>
        <v>15</v>
      </c>
    </row>
    <row r="34" spans="1:9" ht="15" x14ac:dyDescent="0.2">
      <c r="A34" s="20" t="s">
        <v>76</v>
      </c>
      <c r="B34" s="21"/>
      <c r="C34" s="21"/>
      <c r="D34" s="21"/>
      <c r="E34" s="21"/>
      <c r="F34" s="21"/>
      <c r="G34" s="22"/>
      <c r="H34" s="22"/>
      <c r="I34" s="27">
        <f t="shared" si="0"/>
        <v>15</v>
      </c>
    </row>
    <row r="35" spans="1:9" ht="39" x14ac:dyDescent="0.2">
      <c r="A35" s="24" t="str">
        <f>IF(OR(ISBLANK(B35),B35=""),"",_xlfn.CONCAT("1.",I35))</f>
        <v>1.16</v>
      </c>
      <c r="B35" s="25" t="s">
        <v>77</v>
      </c>
      <c r="C35" s="25"/>
      <c r="D35" s="25"/>
      <c r="E35" s="24"/>
      <c r="F35" s="24"/>
      <c r="G35" s="24" t="s">
        <v>78</v>
      </c>
      <c r="H35" s="24"/>
      <c r="I35" s="27">
        <f t="shared" si="0"/>
        <v>16</v>
      </c>
    </row>
    <row r="36" spans="1:9" ht="75" x14ac:dyDescent="0.2">
      <c r="A36" s="24" t="str">
        <f>IF(OR(ISBLANK(B36),B36=""),"",_xlfn.CONCAT("1.",I36))</f>
        <v>1.17</v>
      </c>
      <c r="B36" s="40" t="s">
        <v>79</v>
      </c>
      <c r="C36" s="25"/>
      <c r="D36" s="40"/>
      <c r="E36" s="33"/>
      <c r="F36" s="41" t="s">
        <v>80</v>
      </c>
      <c r="G36" s="24"/>
      <c r="H36" s="24"/>
      <c r="I36" s="27">
        <f t="shared" si="0"/>
        <v>17</v>
      </c>
    </row>
    <row r="37" spans="1:9" ht="15" x14ac:dyDescent="0.2">
      <c r="A37" s="24" t="str">
        <f>IF(OR(ISBLANK(B37),B37=""),"",_xlfn.CONCAT("1.",I37))</f>
        <v/>
      </c>
      <c r="B37" s="25"/>
      <c r="C37" s="42"/>
      <c r="D37" s="25"/>
      <c r="E37" s="43"/>
      <c r="F37" s="43"/>
      <c r="G37" s="42"/>
      <c r="H37" s="43"/>
      <c r="I37" s="27">
        <f t="shared" si="0"/>
        <v>17</v>
      </c>
    </row>
    <row r="38" spans="1:9" ht="15" x14ac:dyDescent="0.2">
      <c r="A38" s="44" t="s">
        <v>81</v>
      </c>
      <c r="B38" s="45"/>
      <c r="C38" s="45"/>
      <c r="D38" s="45"/>
      <c r="E38" s="45"/>
      <c r="F38" s="45"/>
      <c r="G38" s="45"/>
      <c r="H38" s="44"/>
      <c r="I38" s="27">
        <f t="shared" si="0"/>
        <v>17</v>
      </c>
    </row>
    <row r="39" spans="1:9" ht="26" x14ac:dyDescent="0.2">
      <c r="A39" s="24" t="str">
        <f>IF(OR(ISBLANK(B39),B39=""),"",_xlfn.CONCAT("1.",I39))</f>
        <v>1.18</v>
      </c>
      <c r="B39" s="46" t="str">
        <f>IF(D39=0,"","Het systeem wordt ontworpen en uitgevoerd conform de meest recente versie van het ISSO Handboek ZonneEnergie (bijv dd 2022)")</f>
        <v>Het systeem wordt ontworpen en uitgevoerd conform de meest recente versie van het ISSO Handboek ZonneEnergie (bijv dd 2022)</v>
      </c>
      <c r="C39" s="25"/>
      <c r="D39" s="29" t="s">
        <v>34</v>
      </c>
      <c r="E39" s="47" t="s">
        <v>82</v>
      </c>
      <c r="F39" s="33"/>
      <c r="G39" s="25"/>
      <c r="H39" s="24"/>
      <c r="I39" s="27">
        <f t="shared" si="0"/>
        <v>18</v>
      </c>
    </row>
    <row r="40" spans="1:9" ht="39" x14ac:dyDescent="0.2">
      <c r="A40" s="24" t="str">
        <f>IF(OR(ISBLANK(B40),B40=""),"",_xlfn.CONCAT("1.",I40))</f>
        <v>1.19</v>
      </c>
      <c r="B40" s="47" t="str">
        <f>IF(D40=0,"","Garantiestelling moederbedrijf. Indien opdrachtnemer een meerderheidsaandeelhouder heeft dient deze financieel garant te staan voor opdrachtnemer")</f>
        <v>Garantiestelling moederbedrijf. Indien opdrachtnemer een meerderheidsaandeelhouder heeft dient deze financieel garant te staan voor opdrachtnemer</v>
      </c>
      <c r="C40" s="25"/>
      <c r="D40" s="29" t="s">
        <v>34</v>
      </c>
      <c r="E40" s="47" t="s">
        <v>83</v>
      </c>
      <c r="F40" s="24"/>
      <c r="G40" s="25"/>
      <c r="H40" s="24"/>
      <c r="I40" s="27">
        <f t="shared" si="0"/>
        <v>19</v>
      </c>
    </row>
    <row r="41" spans="1:9" ht="52" x14ac:dyDescent="0.2">
      <c r="A41" s="24" t="str">
        <f>IF(OR(ISBLANK(B41),B41=""),"",_xlfn.CONCAT("1.",I41))</f>
        <v>1.20</v>
      </c>
      <c r="B41" s="47" t="str">
        <f>IF(D41=0,"","Third Party .PAN file")</f>
        <v>Third Party .PAN file</v>
      </c>
      <c r="C41" s="25"/>
      <c r="D41" s="29" t="s">
        <v>34</v>
      </c>
      <c r="E41" s="47" t="s">
        <v>84</v>
      </c>
      <c r="F41" s="24"/>
      <c r="G41" s="25"/>
      <c r="H41" s="24"/>
      <c r="I41" s="27">
        <f t="shared" si="0"/>
        <v>20</v>
      </c>
    </row>
    <row r="42" spans="1:9" ht="26" x14ac:dyDescent="0.2">
      <c r="A42" s="24" t="str">
        <f>IF(OR(ISBLANK(B42),B42=""),"",_xlfn.CONCAT("1.",I42))</f>
        <v>1.21</v>
      </c>
      <c r="B42" s="47" t="str">
        <f>IF(D42=0,"","Veiligheidscultuur. ISO45001 of Safety Culture Ladder minimaal trede 3")</f>
        <v>Veiligheidscultuur. ISO45001 of Safety Culture Ladder minimaal trede 3</v>
      </c>
      <c r="C42" s="25"/>
      <c r="D42" s="29" t="s">
        <v>34</v>
      </c>
      <c r="E42" s="47" t="s">
        <v>85</v>
      </c>
      <c r="F42" s="24"/>
      <c r="G42" s="25"/>
      <c r="H42" s="24"/>
      <c r="I42" s="27">
        <f t="shared" si="0"/>
        <v>21</v>
      </c>
    </row>
  </sheetData>
  <printOptions horizontalCentered="1" verticalCentered="1"/>
  <pageMargins left="0.23622047244094499" right="0.23622047244094499" top="0.74803149606299202" bottom="0.74803149606299202" header="0.31496062992126" footer="0.31496062992126"/>
  <pageSetup paperSize="0" fitToWidth="0" fitToHeight="0" orientation="landscape" horizontalDpi="0" verticalDpi="0" copies="0"/>
  <headerFooter>
    <oddFooter>&amp;L
&amp;1#&amp;10 Intern gebruik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workbookViewId="0"/>
  </sheetViews>
  <sheetFormatPr baseColWidth="10" defaultColWidth="11.5" defaultRowHeight="14.5" x14ac:dyDescent="0.2"/>
  <cols>
    <col min="1" max="1" width="4.5" style="7" customWidth="1"/>
    <col min="2" max="2" width="52.83203125" style="48" customWidth="1"/>
    <col min="3" max="3" width="22.5" style="48" customWidth="1"/>
    <col min="4" max="4" width="6.33203125" style="48" customWidth="1"/>
    <col min="5" max="5" width="26.6640625" style="48" customWidth="1"/>
    <col min="6" max="6" width="52.33203125" style="48" customWidth="1"/>
    <col min="7" max="7" width="24.1640625" style="49" customWidth="1"/>
    <col min="8" max="8" width="56.6640625" style="50" customWidth="1"/>
    <col min="9" max="9" width="6.1640625" style="7" hidden="1" customWidth="1"/>
    <col min="10" max="10" width="11.5" style="7" customWidth="1"/>
    <col min="11" max="16384" width="11.5" style="7"/>
  </cols>
  <sheetData>
    <row r="1" spans="1:21" ht="15" x14ac:dyDescent="0.15">
      <c r="A1" s="51" t="s">
        <v>86</v>
      </c>
      <c r="B1" s="3"/>
      <c r="C1" s="3"/>
      <c r="D1" s="3"/>
      <c r="E1" s="52" t="s">
        <v>2</v>
      </c>
      <c r="F1" s="53"/>
      <c r="G1" s="51"/>
      <c r="H1" s="54"/>
      <c r="I1" s="51"/>
      <c r="J1" s="6"/>
      <c r="K1" s="6"/>
      <c r="L1" s="6"/>
      <c r="M1" s="6"/>
      <c r="N1" s="6"/>
      <c r="O1" s="6"/>
      <c r="P1" s="6"/>
      <c r="Q1" s="6"/>
      <c r="R1" s="6"/>
      <c r="S1" s="6"/>
      <c r="T1" s="6"/>
      <c r="U1" s="6"/>
    </row>
    <row r="2" spans="1:21" ht="13" customHeight="1" x14ac:dyDescent="0.2">
      <c r="A2" s="8" t="s">
        <v>3</v>
      </c>
      <c r="B2" s="55"/>
      <c r="C2" s="3"/>
      <c r="D2" s="3"/>
      <c r="E2" s="15" t="s">
        <v>4</v>
      </c>
      <c r="F2" s="55"/>
      <c r="G2" s="51"/>
      <c r="H2" s="54"/>
      <c r="I2" s="6"/>
      <c r="J2" s="6"/>
      <c r="K2" s="6"/>
      <c r="L2" s="6"/>
      <c r="M2" s="6"/>
      <c r="N2" s="6"/>
      <c r="O2" s="6"/>
      <c r="P2" s="6"/>
      <c r="Q2" s="6"/>
      <c r="R2" s="6"/>
      <c r="S2" s="6"/>
      <c r="T2" s="6"/>
      <c r="U2" s="6"/>
    </row>
    <row r="3" spans="1:21" ht="11" customHeight="1" x14ac:dyDescent="0.2">
      <c r="A3" s="14" t="str">
        <f>'1__Eisen_-_Algemeen'!A3</f>
        <v>Versie 1.1 - Juli 2024</v>
      </c>
      <c r="B3" s="3"/>
      <c r="C3" s="3"/>
      <c r="D3" s="3"/>
      <c r="E3" s="15" t="s">
        <v>6</v>
      </c>
      <c r="F3" s="56"/>
      <c r="G3" s="51"/>
      <c r="H3" s="54"/>
      <c r="I3" s="6"/>
      <c r="J3" s="6"/>
      <c r="K3" s="6"/>
      <c r="L3" s="6"/>
      <c r="M3" s="6"/>
      <c r="N3" s="6"/>
      <c r="O3" s="6"/>
      <c r="P3" s="6"/>
      <c r="Q3" s="6"/>
      <c r="R3" s="6"/>
      <c r="S3" s="6"/>
      <c r="T3" s="6"/>
      <c r="U3" s="6"/>
    </row>
    <row r="4" spans="1:21" ht="11" customHeight="1" x14ac:dyDescent="0.2">
      <c r="A4" s="14" t="s">
        <v>7</v>
      </c>
      <c r="B4" s="3"/>
      <c r="C4" s="3"/>
      <c r="D4" s="3"/>
      <c r="E4" s="15" t="s">
        <v>8</v>
      </c>
      <c r="F4" s="56"/>
      <c r="G4" s="51"/>
      <c r="H4" s="54"/>
      <c r="I4" s="6"/>
      <c r="J4" s="6"/>
      <c r="K4" s="6"/>
      <c r="L4" s="6"/>
      <c r="M4" s="6"/>
      <c r="N4" s="6"/>
      <c r="O4" s="6"/>
      <c r="P4" s="6"/>
      <c r="Q4" s="6"/>
      <c r="R4" s="6"/>
      <c r="S4" s="6"/>
      <c r="T4" s="6"/>
      <c r="U4" s="6"/>
    </row>
    <row r="5" spans="1:21" ht="11" customHeight="1" x14ac:dyDescent="0.2">
      <c r="A5" s="14" t="s">
        <v>9</v>
      </c>
      <c r="B5" s="3"/>
      <c r="C5" s="3"/>
      <c r="D5" s="3"/>
      <c r="E5" s="15" t="s">
        <v>10</v>
      </c>
      <c r="F5" s="56"/>
      <c r="G5" s="51"/>
      <c r="H5" s="54"/>
      <c r="I5" s="6"/>
      <c r="J5" s="6"/>
      <c r="K5" s="6"/>
      <c r="L5" s="6"/>
      <c r="M5" s="6"/>
      <c r="N5" s="6"/>
      <c r="O5" s="6"/>
      <c r="P5" s="6"/>
      <c r="Q5" s="6"/>
      <c r="R5" s="6"/>
      <c r="S5" s="6"/>
      <c r="T5" s="6"/>
      <c r="U5" s="6"/>
    </row>
    <row r="6" spans="1:21" ht="26" customHeight="1" x14ac:dyDescent="0.2">
      <c r="A6" s="57" t="s">
        <v>11</v>
      </c>
      <c r="B6" s="57" t="s">
        <v>87</v>
      </c>
      <c r="C6" s="57" t="s">
        <v>88</v>
      </c>
      <c r="D6" s="17" t="s">
        <v>14</v>
      </c>
      <c r="E6" s="57" t="s">
        <v>89</v>
      </c>
      <c r="F6" s="57" t="s">
        <v>90</v>
      </c>
      <c r="G6" s="58" t="s">
        <v>17</v>
      </c>
      <c r="H6" s="57" t="s">
        <v>18</v>
      </c>
      <c r="I6" s="19"/>
    </row>
    <row r="7" spans="1:21" ht="15" x14ac:dyDescent="0.2">
      <c r="A7" s="20" t="s">
        <v>91</v>
      </c>
      <c r="B7" s="21"/>
      <c r="C7" s="21"/>
      <c r="D7" s="21"/>
      <c r="E7" s="21"/>
      <c r="F7" s="21"/>
      <c r="G7" s="22"/>
      <c r="H7" s="22"/>
      <c r="I7" s="23"/>
    </row>
    <row r="8" spans="1:21" ht="26" x14ac:dyDescent="0.2">
      <c r="A8" s="59" t="str">
        <f>_xlfn.CONCAT("2.",I8)</f>
        <v>2.1</v>
      </c>
      <c r="B8" s="25" t="s">
        <v>92</v>
      </c>
      <c r="C8" s="26" t="s">
        <v>93</v>
      </c>
      <c r="D8" s="25"/>
      <c r="E8" s="24" t="s">
        <v>94</v>
      </c>
      <c r="F8" s="25"/>
      <c r="G8" s="25"/>
      <c r="H8" s="24"/>
      <c r="I8" s="27">
        <v>1</v>
      </c>
    </row>
    <row r="9" spans="1:21" ht="52" x14ac:dyDescent="0.2">
      <c r="A9" s="24" t="str">
        <f>IF(ISBLANK(B9),"",_xlfn.CONCAT("2.",I9))</f>
        <v>2.2</v>
      </c>
      <c r="B9" s="25" t="s">
        <v>95</v>
      </c>
      <c r="C9" s="26" t="s">
        <v>96</v>
      </c>
      <c r="D9" s="25"/>
      <c r="E9" s="24"/>
      <c r="F9" s="24" t="s">
        <v>97</v>
      </c>
      <c r="G9" s="25"/>
      <c r="H9" s="36" t="s">
        <v>98</v>
      </c>
      <c r="I9" s="27">
        <f t="shared" ref="I9:I15" si="0">IF(OR(ISBLANK(B9),B9=""),I8,I8+1)</f>
        <v>2</v>
      </c>
    </row>
    <row r="10" spans="1:21" ht="26" x14ac:dyDescent="0.2">
      <c r="A10" s="24" t="str">
        <f>IF(ISBLANK(B10),"",_xlfn.CONCAT("2.",I10))</f>
        <v>2.3</v>
      </c>
      <c r="B10" s="25" t="s">
        <v>99</v>
      </c>
      <c r="C10" s="24" t="s">
        <v>100</v>
      </c>
      <c r="D10" s="25"/>
      <c r="E10" s="24"/>
      <c r="F10" s="24"/>
      <c r="G10" s="25"/>
      <c r="H10" s="24"/>
      <c r="I10" s="27">
        <f t="shared" si="0"/>
        <v>3</v>
      </c>
    </row>
    <row r="11" spans="1:21" ht="15" x14ac:dyDescent="0.2">
      <c r="A11" s="24" t="str">
        <f>IF(ISBLANK(B11),"",_xlfn.CONCAT("2.",I11))</f>
        <v>2.4</v>
      </c>
      <c r="B11" s="25" t="s">
        <v>101</v>
      </c>
      <c r="C11" s="24"/>
      <c r="D11" s="25"/>
      <c r="E11" s="24"/>
      <c r="F11" s="24" t="s">
        <v>102</v>
      </c>
      <c r="G11" s="25"/>
      <c r="H11" s="24"/>
      <c r="I11" s="27">
        <f t="shared" si="0"/>
        <v>4</v>
      </c>
    </row>
    <row r="12" spans="1:21" ht="26" x14ac:dyDescent="0.2">
      <c r="A12" s="24" t="str">
        <f>IF(ISBLANK(B12),"",_xlfn.CONCAT("2.",I12))</f>
        <v>2.5</v>
      </c>
      <c r="B12" s="25" t="s">
        <v>103</v>
      </c>
      <c r="C12" s="24"/>
      <c r="D12" s="25"/>
      <c r="E12" s="24"/>
      <c r="F12" s="24"/>
      <c r="G12" s="25"/>
      <c r="H12" s="24"/>
      <c r="I12" s="27">
        <f t="shared" si="0"/>
        <v>5</v>
      </c>
    </row>
    <row r="13" spans="1:21" ht="15" x14ac:dyDescent="0.2">
      <c r="A13" s="24" t="str">
        <f>IF(ISBLANK(B13),"",_xlfn.CONCAT("2.",I13))</f>
        <v/>
      </c>
      <c r="B13" s="25"/>
      <c r="C13" s="24"/>
      <c r="D13" s="25"/>
      <c r="E13" s="24"/>
      <c r="F13" s="24"/>
      <c r="G13" s="25"/>
      <c r="H13" s="24"/>
      <c r="I13" s="27">
        <f t="shared" si="0"/>
        <v>5</v>
      </c>
    </row>
    <row r="14" spans="1:21" ht="15" x14ac:dyDescent="0.2">
      <c r="A14" s="20" t="s">
        <v>104</v>
      </c>
      <c r="B14" s="21"/>
      <c r="C14" s="60"/>
      <c r="D14" s="21"/>
      <c r="E14" s="21"/>
      <c r="F14" s="21"/>
      <c r="G14" s="22"/>
      <c r="H14" s="22"/>
      <c r="I14" s="27">
        <f t="shared" si="0"/>
        <v>5</v>
      </c>
    </row>
    <row r="15" spans="1:21" ht="26" x14ac:dyDescent="0.2">
      <c r="A15" s="24" t="str">
        <f>IF(ISBLANK(B15),"",_xlfn.CONCAT("2.",I15))</f>
        <v>2.6</v>
      </c>
      <c r="B15" s="25" t="s">
        <v>105</v>
      </c>
      <c r="C15" s="61" t="s">
        <v>100</v>
      </c>
      <c r="D15" s="62"/>
      <c r="E15" s="62"/>
      <c r="F15" s="62"/>
      <c r="G15" s="62"/>
      <c r="H15" s="61"/>
      <c r="I15" s="27">
        <f t="shared" si="0"/>
        <v>6</v>
      </c>
    </row>
    <row r="16" spans="1:21" ht="26" x14ac:dyDescent="0.2">
      <c r="A16" s="61"/>
      <c r="B16" s="63" t="s">
        <v>106</v>
      </c>
      <c r="C16" s="61"/>
      <c r="D16" s="64"/>
      <c r="E16" s="62"/>
      <c r="F16" s="65"/>
      <c r="G16" s="62"/>
      <c r="H16" s="66"/>
      <c r="I16" s="67"/>
    </row>
    <row r="17" spans="1:9" ht="15" x14ac:dyDescent="0.2">
      <c r="A17" s="68"/>
      <c r="B17" s="63" t="s">
        <v>107</v>
      </c>
      <c r="C17" s="68"/>
      <c r="D17" s="63"/>
      <c r="E17" s="69"/>
      <c r="F17" s="70"/>
      <c r="G17" s="69"/>
      <c r="H17" s="71"/>
      <c r="I17" s="67"/>
    </row>
    <row r="18" spans="1:9" ht="15" x14ac:dyDescent="0.2">
      <c r="A18" s="68"/>
      <c r="B18" s="63" t="s">
        <v>108</v>
      </c>
      <c r="C18" s="68"/>
      <c r="D18" s="63"/>
      <c r="E18" s="69"/>
      <c r="F18" s="70"/>
      <c r="G18" s="69"/>
      <c r="H18" s="71"/>
      <c r="I18" s="67"/>
    </row>
    <row r="19" spans="1:9" ht="15" x14ac:dyDescent="0.2">
      <c r="A19" s="68"/>
      <c r="B19" s="63" t="s">
        <v>109</v>
      </c>
      <c r="C19" s="68"/>
      <c r="D19" s="63"/>
      <c r="E19" s="69"/>
      <c r="F19" s="70"/>
      <c r="G19" s="69"/>
      <c r="H19" s="71"/>
      <c r="I19" s="67"/>
    </row>
    <row r="20" spans="1:9" ht="26" x14ac:dyDescent="0.2">
      <c r="A20" s="68"/>
      <c r="B20" s="63" t="s">
        <v>110</v>
      </c>
      <c r="C20" s="68"/>
      <c r="D20" s="63"/>
      <c r="E20" s="69"/>
      <c r="F20" s="70"/>
      <c r="G20" s="69"/>
      <c r="H20" s="71"/>
      <c r="I20" s="67"/>
    </row>
    <row r="21" spans="1:9" ht="26" x14ac:dyDescent="0.2">
      <c r="A21" s="72"/>
      <c r="B21" s="63" t="s">
        <v>111</v>
      </c>
      <c r="C21" s="72"/>
      <c r="D21" s="73"/>
      <c r="E21" s="74"/>
      <c r="F21" s="75"/>
      <c r="G21" s="74"/>
      <c r="H21" s="76"/>
      <c r="I21" s="67"/>
    </row>
    <row r="22" spans="1:9" ht="15" x14ac:dyDescent="0.2">
      <c r="A22" s="24"/>
      <c r="B22" s="25"/>
      <c r="C22" s="74"/>
      <c r="D22" s="74"/>
      <c r="E22" s="72"/>
      <c r="F22" s="72"/>
      <c r="G22" s="74"/>
      <c r="H22" s="72"/>
      <c r="I22" s="27">
        <f>IF(OR(ISBLANK(B22),B22=""),I15,I15+1)</f>
        <v>6</v>
      </c>
    </row>
    <row r="23" spans="1:9" ht="15" x14ac:dyDescent="0.2">
      <c r="A23" s="20" t="s">
        <v>112</v>
      </c>
      <c r="B23" s="21"/>
      <c r="C23" s="21"/>
      <c r="D23" s="21"/>
      <c r="E23" s="21"/>
      <c r="F23" s="21"/>
      <c r="G23" s="22"/>
      <c r="H23" s="22"/>
      <c r="I23" s="27">
        <f t="shared" ref="I23:I37" si="1">IF(OR(ISBLANK(B23),B23=""),I22,I22+1)</f>
        <v>6</v>
      </c>
    </row>
    <row r="24" spans="1:9" ht="39" x14ac:dyDescent="0.2">
      <c r="A24" s="24" t="str">
        <f>IF(ISBLANK(B24),"",_xlfn.CONCAT("2.",I24))</f>
        <v>2.7</v>
      </c>
      <c r="B24" s="70" t="s">
        <v>113</v>
      </c>
      <c r="C24" s="24" t="s">
        <v>100</v>
      </c>
      <c r="D24" s="25"/>
      <c r="E24" s="24"/>
      <c r="F24" s="24" t="s">
        <v>114</v>
      </c>
      <c r="G24" s="24" t="s">
        <v>115</v>
      </c>
      <c r="H24" s="24"/>
      <c r="I24" s="27">
        <f t="shared" si="1"/>
        <v>7</v>
      </c>
    </row>
    <row r="25" spans="1:9" ht="15" x14ac:dyDescent="0.2">
      <c r="A25" s="24" t="str">
        <f>IF(ISBLANK(B25),"",_xlfn.CONCAT("5.",I25))</f>
        <v/>
      </c>
      <c r="B25" s="25"/>
      <c r="C25" s="25"/>
      <c r="D25" s="25"/>
      <c r="E25" s="24"/>
      <c r="F25" s="24"/>
      <c r="G25" s="25"/>
      <c r="H25" s="24"/>
      <c r="I25" s="27">
        <f t="shared" si="1"/>
        <v>7</v>
      </c>
    </row>
    <row r="26" spans="1:9" ht="15" x14ac:dyDescent="0.2">
      <c r="A26" s="20" t="s">
        <v>116</v>
      </c>
      <c r="B26" s="21"/>
      <c r="C26" s="21"/>
      <c r="D26" s="21"/>
      <c r="E26" s="21"/>
      <c r="F26" s="21"/>
      <c r="G26" s="22"/>
      <c r="H26" s="22"/>
      <c r="I26" s="27">
        <f t="shared" si="1"/>
        <v>7</v>
      </c>
    </row>
    <row r="27" spans="1:9" ht="26" x14ac:dyDescent="0.2">
      <c r="A27" s="24" t="str">
        <f t="shared" ref="A27:A36" si="2">IF(ISBLANK(B27),"",_xlfn.CONCAT("2.",I27))</f>
        <v>2.8</v>
      </c>
      <c r="B27" s="25" t="s">
        <v>117</v>
      </c>
      <c r="C27" s="25"/>
      <c r="D27" s="25"/>
      <c r="E27" s="24"/>
      <c r="F27" s="24"/>
      <c r="G27" s="24" t="s">
        <v>118</v>
      </c>
      <c r="H27" s="24"/>
      <c r="I27" s="27">
        <f t="shared" si="1"/>
        <v>8</v>
      </c>
    </row>
    <row r="28" spans="1:9" ht="39" x14ac:dyDescent="0.2">
      <c r="A28" s="24" t="str">
        <f t="shared" si="2"/>
        <v>2.9</v>
      </c>
      <c r="B28" s="25" t="s">
        <v>119</v>
      </c>
      <c r="C28" s="24"/>
      <c r="D28" s="24"/>
      <c r="E28" s="24"/>
      <c r="F28" s="24"/>
      <c r="G28" s="24" t="s">
        <v>118</v>
      </c>
      <c r="H28" s="24"/>
      <c r="I28" s="27">
        <f t="shared" si="1"/>
        <v>9</v>
      </c>
    </row>
    <row r="29" spans="1:9" ht="26" x14ac:dyDescent="0.2">
      <c r="A29" s="24" t="str">
        <f t="shared" si="2"/>
        <v>2.10</v>
      </c>
      <c r="B29" s="26" t="s">
        <v>120</v>
      </c>
      <c r="C29" s="24"/>
      <c r="D29" s="24"/>
      <c r="E29" s="24"/>
      <c r="F29" s="24"/>
      <c r="G29" s="24" t="s">
        <v>118</v>
      </c>
      <c r="H29" s="24"/>
      <c r="I29" s="27">
        <f t="shared" si="1"/>
        <v>10</v>
      </c>
    </row>
    <row r="30" spans="1:9" ht="26" x14ac:dyDescent="0.2">
      <c r="A30" s="24" t="str">
        <f t="shared" si="2"/>
        <v>2.11</v>
      </c>
      <c r="B30" s="25" t="s">
        <v>121</v>
      </c>
      <c r="C30" s="24"/>
      <c r="D30" s="24"/>
      <c r="E30" s="24"/>
      <c r="F30" s="24"/>
      <c r="G30" s="24" t="s">
        <v>122</v>
      </c>
      <c r="H30" s="24"/>
      <c r="I30" s="27">
        <f t="shared" si="1"/>
        <v>11</v>
      </c>
    </row>
    <row r="31" spans="1:9" ht="15" x14ac:dyDescent="0.2">
      <c r="A31" s="24" t="str">
        <f t="shared" si="2"/>
        <v>2.12</v>
      </c>
      <c r="B31" s="25" t="s">
        <v>123</v>
      </c>
      <c r="C31" s="24"/>
      <c r="D31" s="24"/>
      <c r="E31" s="24"/>
      <c r="F31" s="24"/>
      <c r="G31" s="24" t="s">
        <v>118</v>
      </c>
      <c r="H31" s="24"/>
      <c r="I31" s="27">
        <f t="shared" si="1"/>
        <v>12</v>
      </c>
    </row>
    <row r="32" spans="1:9" ht="26" x14ac:dyDescent="0.2">
      <c r="A32" s="24" t="str">
        <f t="shared" si="2"/>
        <v>2.13</v>
      </c>
      <c r="B32" s="25" t="s">
        <v>124</v>
      </c>
      <c r="C32" s="24"/>
      <c r="D32" s="24"/>
      <c r="E32" s="24"/>
      <c r="F32" s="24"/>
      <c r="G32" s="24" t="s">
        <v>118</v>
      </c>
      <c r="H32" s="24"/>
      <c r="I32" s="27">
        <f t="shared" si="1"/>
        <v>13</v>
      </c>
    </row>
    <row r="33" spans="1:9" ht="26" x14ac:dyDescent="0.2">
      <c r="A33" s="24" t="str">
        <f t="shared" si="2"/>
        <v>2.14</v>
      </c>
      <c r="B33" s="25" t="s">
        <v>125</v>
      </c>
      <c r="C33" s="24"/>
      <c r="D33" s="24"/>
      <c r="E33" s="24"/>
      <c r="F33" s="24"/>
      <c r="G33" s="24" t="s">
        <v>126</v>
      </c>
      <c r="H33" s="24"/>
      <c r="I33" s="27">
        <f t="shared" si="1"/>
        <v>14</v>
      </c>
    </row>
    <row r="34" spans="1:9" ht="39" x14ac:dyDescent="0.2">
      <c r="A34" s="24" t="str">
        <f t="shared" si="2"/>
        <v>2.15</v>
      </c>
      <c r="B34" s="25" t="s">
        <v>127</v>
      </c>
      <c r="C34" s="24"/>
      <c r="D34" s="24"/>
      <c r="E34" s="24"/>
      <c r="F34" s="24"/>
      <c r="G34" s="24" t="s">
        <v>118</v>
      </c>
      <c r="H34" s="24"/>
      <c r="I34" s="27">
        <f t="shared" si="1"/>
        <v>15</v>
      </c>
    </row>
    <row r="35" spans="1:9" ht="26" x14ac:dyDescent="0.2">
      <c r="A35" s="24" t="str">
        <f t="shared" si="2"/>
        <v>2.16</v>
      </c>
      <c r="B35" s="25" t="s">
        <v>128</v>
      </c>
      <c r="C35" s="24"/>
      <c r="D35" s="24"/>
      <c r="E35" s="24"/>
      <c r="F35" s="24"/>
      <c r="G35" s="24"/>
      <c r="H35" s="24"/>
      <c r="I35" s="27">
        <f t="shared" si="1"/>
        <v>16</v>
      </c>
    </row>
    <row r="36" spans="1:9" ht="26" x14ac:dyDescent="0.2">
      <c r="A36" s="24" t="str">
        <f t="shared" si="2"/>
        <v>2.17</v>
      </c>
      <c r="B36" s="28" t="str">
        <f>IF(D36=0,"","Onderhouds- en monitoring werkzaamheden gedurende eerste 2(4) jaar, zoals beschreven in tabblad 7 - Eisen O en M")</f>
        <v>Onderhouds- en monitoring werkzaamheden gedurende eerste 2(4) jaar, zoals beschreven in tabblad 7 - Eisen O en M</v>
      </c>
      <c r="C36" s="24"/>
      <c r="D36" s="29" t="s">
        <v>34</v>
      </c>
      <c r="E36" s="24"/>
      <c r="F36" s="24"/>
      <c r="G36" s="24" t="s">
        <v>129</v>
      </c>
      <c r="H36" s="24"/>
      <c r="I36" s="27">
        <f t="shared" si="1"/>
        <v>17</v>
      </c>
    </row>
    <row r="37" spans="1:9" ht="15" x14ac:dyDescent="0.2">
      <c r="A37" s="24"/>
      <c r="B37" s="25"/>
      <c r="C37" s="25"/>
      <c r="D37" s="25"/>
      <c r="E37" s="24"/>
      <c r="F37" s="24"/>
      <c r="G37" s="25"/>
      <c r="H37" s="24"/>
      <c r="I37" s="27">
        <f t="shared" si="1"/>
        <v>17</v>
      </c>
    </row>
    <row r="38" spans="1:9" ht="15" x14ac:dyDescent="0.2"/>
    <row r="39" spans="1:9" ht="12.75" customHeight="1" x14ac:dyDescent="0.2"/>
  </sheetData>
  <printOptions horizontalCentered="1" verticalCentered="1"/>
  <pageMargins left="0.23622047244094499" right="0.23622047244094499" top="0.74803149606299202" bottom="0.74803149606299202" header="0.31496062992126" footer="0.31496062992126"/>
  <pageSetup paperSize="0" fitToWidth="0" fitToHeight="0" orientation="landscape" horizontalDpi="0" verticalDpi="0" copies="0"/>
  <headerFooter>
    <oddFooter>&amp;L
&amp;1#&amp;10 Intern gebruik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heetViews>
  <sheetFormatPr baseColWidth="10" defaultColWidth="11.5" defaultRowHeight="14.5" x14ac:dyDescent="0.2"/>
  <cols>
    <col min="1" max="1" width="4.6640625" style="7" customWidth="1"/>
    <col min="2" max="2" width="39.6640625" style="48" customWidth="1"/>
    <col min="3" max="3" width="10.33203125" style="48" customWidth="1"/>
    <col min="4" max="4" width="6.5" style="48" customWidth="1"/>
    <col min="5" max="5" width="57.5" style="48" customWidth="1"/>
    <col min="6" max="6" width="52.1640625" style="48" customWidth="1"/>
    <col min="7" max="7" width="43.5" style="49" customWidth="1"/>
    <col min="8" max="8" width="26.83203125" style="50" customWidth="1"/>
    <col min="9" max="9" width="4.1640625" style="7" hidden="1" customWidth="1"/>
    <col min="10" max="10" width="11.5" style="7" customWidth="1"/>
    <col min="11" max="16384" width="11.5" style="7"/>
  </cols>
  <sheetData>
    <row r="1" spans="1:13" ht="21.75" customHeight="1" x14ac:dyDescent="0.15">
      <c r="A1" s="2" t="s">
        <v>130</v>
      </c>
      <c r="B1" s="3"/>
      <c r="C1" s="3"/>
      <c r="D1" s="3"/>
      <c r="E1" s="52" t="s">
        <v>2</v>
      </c>
      <c r="F1" s="3"/>
      <c r="G1" s="51"/>
      <c r="H1" s="54"/>
      <c r="I1" s="51"/>
      <c r="J1" s="6"/>
      <c r="K1" s="6"/>
      <c r="L1" s="6"/>
      <c r="M1" s="6"/>
    </row>
    <row r="2" spans="1:13" ht="13" customHeight="1" x14ac:dyDescent="0.2">
      <c r="A2" s="8" t="s">
        <v>3</v>
      </c>
      <c r="B2" s="55"/>
      <c r="C2" s="3"/>
      <c r="D2" s="3"/>
      <c r="E2" s="15" t="s">
        <v>4</v>
      </c>
      <c r="F2" s="3"/>
      <c r="G2" s="51"/>
      <c r="H2" s="54"/>
      <c r="I2" s="6"/>
      <c r="J2" s="6"/>
      <c r="K2" s="6"/>
      <c r="L2" s="6"/>
      <c r="M2" s="6"/>
    </row>
    <row r="3" spans="1:13" ht="13" customHeight="1" x14ac:dyDescent="0.2">
      <c r="A3" s="14" t="str">
        <f>'1__Eisen_-_Algemeen'!A3</f>
        <v>Versie 1.1 - Juli 2024</v>
      </c>
      <c r="B3" s="3"/>
      <c r="C3" s="3"/>
      <c r="D3" s="3"/>
      <c r="E3" s="15" t="s">
        <v>6</v>
      </c>
      <c r="F3" s="3"/>
      <c r="G3" s="51"/>
      <c r="H3" s="54"/>
      <c r="I3" s="6"/>
      <c r="J3" s="6"/>
      <c r="K3" s="6"/>
      <c r="L3" s="6"/>
      <c r="M3" s="6"/>
    </row>
    <row r="4" spans="1:13" ht="13" customHeight="1" x14ac:dyDescent="0.2">
      <c r="A4" s="14" t="s">
        <v>7</v>
      </c>
      <c r="B4" s="3"/>
      <c r="C4" s="3"/>
      <c r="D4" s="3"/>
      <c r="E4" s="15" t="s">
        <v>8</v>
      </c>
      <c r="F4" s="3"/>
      <c r="G4" s="51"/>
      <c r="H4" s="54"/>
      <c r="I4" s="6"/>
      <c r="J4" s="6"/>
      <c r="K4" s="6"/>
      <c r="L4" s="6"/>
      <c r="M4" s="6"/>
    </row>
    <row r="5" spans="1:13" ht="13" customHeight="1" x14ac:dyDescent="0.2">
      <c r="A5" s="14" t="s">
        <v>9</v>
      </c>
      <c r="B5" s="3"/>
      <c r="C5" s="3"/>
      <c r="D5" s="3"/>
      <c r="E5" s="15" t="s">
        <v>10</v>
      </c>
      <c r="F5" s="3"/>
      <c r="G5" s="51"/>
      <c r="H5" s="54"/>
      <c r="I5" s="6"/>
      <c r="J5" s="6"/>
      <c r="K5" s="6"/>
      <c r="L5" s="6"/>
      <c r="M5" s="6"/>
    </row>
    <row r="6" spans="1:13" ht="24" x14ac:dyDescent="0.2">
      <c r="A6" s="77" t="s">
        <v>11</v>
      </c>
      <c r="B6" s="16" t="s">
        <v>12</v>
      </c>
      <c r="C6" s="16" t="s">
        <v>13</v>
      </c>
      <c r="D6" s="17" t="s">
        <v>14</v>
      </c>
      <c r="E6" s="57" t="s">
        <v>89</v>
      </c>
      <c r="F6" s="16" t="s">
        <v>90</v>
      </c>
      <c r="G6" s="18" t="s">
        <v>131</v>
      </c>
      <c r="H6" s="16" t="s">
        <v>18</v>
      </c>
      <c r="I6" s="19"/>
    </row>
    <row r="7" spans="1:13" ht="20.25" customHeight="1" x14ac:dyDescent="0.2">
      <c r="A7" s="78" t="s">
        <v>132</v>
      </c>
      <c r="B7" s="79"/>
      <c r="C7" s="79"/>
      <c r="D7" s="79"/>
      <c r="E7" s="79"/>
      <c r="F7" s="79"/>
      <c r="G7" s="80"/>
      <c r="H7" s="79"/>
      <c r="I7" s="23"/>
    </row>
    <row r="8" spans="1:13" ht="38" customHeight="1" x14ac:dyDescent="0.2">
      <c r="A8" s="81" t="str">
        <f>_xlfn.CONCAT("3.",I8)</f>
        <v>3.1</v>
      </c>
      <c r="B8" s="82" t="s">
        <v>133</v>
      </c>
      <c r="C8" s="83"/>
      <c r="D8" s="83"/>
      <c r="E8" s="84" t="s">
        <v>134</v>
      </c>
      <c r="F8" s="84" t="s">
        <v>135</v>
      </c>
      <c r="G8" s="84" t="s">
        <v>136</v>
      </c>
      <c r="H8" s="81" t="s">
        <v>137</v>
      </c>
      <c r="I8" s="27">
        <v>1</v>
      </c>
    </row>
    <row r="9" spans="1:13" ht="26" x14ac:dyDescent="0.2">
      <c r="A9" s="81" t="str">
        <f>IF(ISBLANK(B9),"",_xlfn.CONCAT("3.",I9))</f>
        <v>3.2</v>
      </c>
      <c r="B9" s="82" t="s">
        <v>138</v>
      </c>
      <c r="C9" s="82"/>
      <c r="D9" s="82"/>
      <c r="E9" s="84" t="s">
        <v>139</v>
      </c>
      <c r="F9" s="84" t="s">
        <v>140</v>
      </c>
      <c r="G9" s="84" t="s">
        <v>141</v>
      </c>
      <c r="H9" s="81" t="s">
        <v>137</v>
      </c>
      <c r="I9" s="27">
        <f t="shared" ref="I9:I23" si="0">IF(OR(ISBLANK(B9),B9=""),I8,I8+1)</f>
        <v>2</v>
      </c>
    </row>
    <row r="10" spans="1:13" ht="39" x14ac:dyDescent="0.2">
      <c r="A10" s="81" t="str">
        <f>IF(ISBLANK(B10),"",_xlfn.CONCAT("3.",I10))</f>
        <v>3.3</v>
      </c>
      <c r="B10" s="82" t="s">
        <v>142</v>
      </c>
      <c r="C10" s="82"/>
      <c r="D10" s="82"/>
      <c r="E10" s="84" t="s">
        <v>143</v>
      </c>
      <c r="F10" s="84" t="s">
        <v>144</v>
      </c>
      <c r="G10" s="84" t="s">
        <v>145</v>
      </c>
      <c r="H10" s="81" t="s">
        <v>137</v>
      </c>
      <c r="I10" s="27">
        <f t="shared" si="0"/>
        <v>3</v>
      </c>
    </row>
    <row r="11" spans="1:13" ht="52" x14ac:dyDescent="0.2">
      <c r="A11" s="81" t="str">
        <f>IF(ISBLANK(B11),"",_xlfn.CONCAT("3.",I11))</f>
        <v>3.4</v>
      </c>
      <c r="B11" s="85" t="s">
        <v>146</v>
      </c>
      <c r="C11" s="82"/>
      <c r="D11" s="82"/>
      <c r="E11" s="84" t="s">
        <v>147</v>
      </c>
      <c r="F11" s="84" t="s">
        <v>148</v>
      </c>
      <c r="G11" s="84" t="s">
        <v>149</v>
      </c>
      <c r="H11" s="81" t="s">
        <v>137</v>
      </c>
      <c r="I11" s="27">
        <f t="shared" si="0"/>
        <v>4</v>
      </c>
    </row>
    <row r="12" spans="1:13" ht="8" customHeight="1" x14ac:dyDescent="0.2">
      <c r="A12" s="24" t="str">
        <f>IF(ISBLANK(B12),"",_xlfn.CONCAT("3.",I12))</f>
        <v/>
      </c>
      <c r="B12" s="85"/>
      <c r="C12" s="82"/>
      <c r="D12" s="82"/>
      <c r="E12" s="84"/>
      <c r="F12" s="84"/>
      <c r="G12" s="84"/>
      <c r="H12" s="81"/>
      <c r="I12" s="27">
        <f t="shared" si="0"/>
        <v>4</v>
      </c>
    </row>
    <row r="13" spans="1:13" ht="8" customHeight="1" x14ac:dyDescent="0.2">
      <c r="A13" s="24" t="str">
        <f>IF(ISBLANK(B13),"",_xlfn.CONCAT("3.",I13))</f>
        <v/>
      </c>
      <c r="B13" s="82"/>
      <c r="C13" s="82"/>
      <c r="D13" s="82"/>
      <c r="E13" s="82"/>
      <c r="F13" s="84"/>
      <c r="G13" s="82"/>
      <c r="H13" s="81"/>
      <c r="I13" s="27">
        <f t="shared" si="0"/>
        <v>4</v>
      </c>
    </row>
    <row r="14" spans="1:13" ht="15" x14ac:dyDescent="0.2">
      <c r="A14" s="80" t="s">
        <v>150</v>
      </c>
      <c r="B14" s="79"/>
      <c r="C14" s="79"/>
      <c r="D14" s="79"/>
      <c r="E14" s="79"/>
      <c r="F14" s="79"/>
      <c r="G14" s="80"/>
      <c r="H14" s="79"/>
      <c r="I14" s="27">
        <f t="shared" si="0"/>
        <v>4</v>
      </c>
    </row>
    <row r="15" spans="1:13" ht="65" x14ac:dyDescent="0.2">
      <c r="A15" s="81" t="str">
        <f>IF(ISBLANK(B15),"",_xlfn.CONCAT("3.",I15))</f>
        <v>3.5</v>
      </c>
      <c r="B15" s="82" t="s">
        <v>151</v>
      </c>
      <c r="C15" s="82"/>
      <c r="D15" s="82"/>
      <c r="E15" s="84" t="s">
        <v>152</v>
      </c>
      <c r="F15" s="84" t="s">
        <v>153</v>
      </c>
      <c r="G15" s="84" t="s">
        <v>154</v>
      </c>
      <c r="H15" s="81" t="s">
        <v>137</v>
      </c>
      <c r="I15" s="27">
        <f t="shared" si="0"/>
        <v>5</v>
      </c>
    </row>
    <row r="16" spans="1:13" ht="91" x14ac:dyDescent="0.2">
      <c r="A16" s="81" t="str">
        <f>IF(ISBLANK(B16),"",_xlfn.CONCAT("3.",I16))</f>
        <v>3.6</v>
      </c>
      <c r="B16" s="82" t="s">
        <v>155</v>
      </c>
      <c r="C16" s="82"/>
      <c r="D16" s="82"/>
      <c r="E16" s="84" t="s">
        <v>156</v>
      </c>
      <c r="F16" s="84" t="s">
        <v>157</v>
      </c>
      <c r="G16" s="84" t="s">
        <v>158</v>
      </c>
      <c r="H16" s="81" t="s">
        <v>137</v>
      </c>
      <c r="I16" s="27">
        <f t="shared" si="0"/>
        <v>6</v>
      </c>
    </row>
    <row r="17" spans="1:9" ht="11" customHeight="1" x14ac:dyDescent="0.2">
      <c r="A17" s="24" t="str">
        <f>IF(ISBLANK(B17),"",_xlfn.CONCAT("3.",I17))</f>
        <v/>
      </c>
      <c r="B17" s="82"/>
      <c r="C17" s="82"/>
      <c r="D17" s="82"/>
      <c r="E17" s="82"/>
      <c r="F17" s="84"/>
      <c r="G17" s="82"/>
      <c r="H17" s="81"/>
      <c r="I17" s="27">
        <f t="shared" si="0"/>
        <v>6</v>
      </c>
    </row>
    <row r="18" spans="1:9" ht="15" x14ac:dyDescent="0.2">
      <c r="A18" s="80" t="s">
        <v>159</v>
      </c>
      <c r="B18" s="79"/>
      <c r="C18" s="79"/>
      <c r="D18" s="79"/>
      <c r="E18" s="79"/>
      <c r="F18" s="79"/>
      <c r="G18" s="80"/>
      <c r="H18" s="86"/>
      <c r="I18" s="27">
        <f t="shared" si="0"/>
        <v>6</v>
      </c>
    </row>
    <row r="19" spans="1:9" ht="39" x14ac:dyDescent="0.2">
      <c r="A19" s="81" t="str">
        <f>IF(ISBLANK(B19),"",_xlfn.CONCAT("3.",I19))</f>
        <v>3.7</v>
      </c>
      <c r="B19" s="87" t="str">
        <f>IF(D19=0,"","Panelen voldoen aan: IEC  62716 (ammoniak-bestendigheid)")</f>
        <v>Panelen voldoen aan: IEC  62716 (ammoniak-bestendigheid)</v>
      </c>
      <c r="C19" s="82"/>
      <c r="D19" s="29" t="s">
        <v>34</v>
      </c>
      <c r="E19" s="84" t="s">
        <v>160</v>
      </c>
      <c r="F19" s="84" t="s">
        <v>161</v>
      </c>
      <c r="G19" s="84" t="s">
        <v>149</v>
      </c>
      <c r="H19" s="81"/>
      <c r="I19" s="27">
        <f t="shared" si="0"/>
        <v>7</v>
      </c>
    </row>
    <row r="20" spans="1:9" ht="39" x14ac:dyDescent="0.2">
      <c r="A20" s="81" t="str">
        <f>IF(ISBLANK(B20),"",_xlfn.CONCAT("3.",I20))</f>
        <v>3.8</v>
      </c>
      <c r="B20" s="87" t="str">
        <f>IF(D20=0,"","Panelen voldoen aan: IEC 61701 (zoutnevel bestendigheid)")</f>
        <v>Panelen voldoen aan: IEC 61701 (zoutnevel bestendigheid)</v>
      </c>
      <c r="C20" s="82"/>
      <c r="D20" s="29" t="s">
        <v>34</v>
      </c>
      <c r="E20" s="84" t="s">
        <v>162</v>
      </c>
      <c r="F20" s="84" t="s">
        <v>161</v>
      </c>
      <c r="G20" s="84" t="s">
        <v>149</v>
      </c>
      <c r="H20" s="81"/>
      <c r="I20" s="27">
        <f t="shared" si="0"/>
        <v>8</v>
      </c>
    </row>
    <row r="21" spans="1:9" ht="61" customHeight="1" x14ac:dyDescent="0.2">
      <c r="A21" s="81" t="str">
        <f>IF(ISBLANK(B21),"",_xlfn.CONCAT("3.",I21))</f>
        <v>3.9</v>
      </c>
      <c r="B21" s="87" t="str">
        <f>IF(D21=0,"","Kleur van de 'backsheet' - zichtbaar tussende cellen")</f>
        <v>Kleur van de 'backsheet' - zichtbaar tussende cellen</v>
      </c>
      <c r="C21" s="82"/>
      <c r="D21" s="29" t="s">
        <v>34</v>
      </c>
      <c r="E21" s="84" t="s">
        <v>163</v>
      </c>
      <c r="F21" s="84"/>
      <c r="G21" s="82"/>
      <c r="H21" s="81"/>
      <c r="I21" s="27">
        <f t="shared" si="0"/>
        <v>9</v>
      </c>
    </row>
    <row r="22" spans="1:9" ht="15" x14ac:dyDescent="0.2">
      <c r="A22" s="81" t="str">
        <f>IF(ISBLANK(B22),"",_xlfn.CONCAT("3.",I22))</f>
        <v>3.10</v>
      </c>
      <c r="B22" s="87" t="str">
        <f>IF(D22=0,"","Kleur van het frame van de zonnepanelen")</f>
        <v>Kleur van het frame van de zonnepanelen</v>
      </c>
      <c r="C22" s="82"/>
      <c r="D22" s="29" t="s">
        <v>34</v>
      </c>
      <c r="E22" s="84" t="s">
        <v>164</v>
      </c>
      <c r="F22" s="84"/>
      <c r="G22" s="82"/>
      <c r="H22" s="81"/>
      <c r="I22" s="27">
        <f t="shared" si="0"/>
        <v>10</v>
      </c>
    </row>
    <row r="23" spans="1:9" ht="15" x14ac:dyDescent="0.2">
      <c r="A23" s="24" t="str">
        <f>IF(ISBLANK(B23),"",_xlfn.CONCAT("3.",I23))</f>
        <v/>
      </c>
      <c r="B23" s="82"/>
      <c r="C23" s="82"/>
      <c r="D23" s="82"/>
      <c r="E23" s="82"/>
      <c r="F23" s="84"/>
      <c r="G23" s="82"/>
      <c r="H23" s="88"/>
      <c r="I23" s="27">
        <f t="shared" si="0"/>
        <v>10</v>
      </c>
    </row>
  </sheetData>
  <printOptions horizontalCentered="1" verticalCentered="1"/>
  <pageMargins left="0.23622047244094499" right="0.23622047244094499" top="0.74803149606299202" bottom="0.74803149606299202" header="0.31496062992126" footer="0.31496062992126"/>
  <pageSetup paperSize="0" fitToWidth="0" fitToHeight="0" orientation="landscape" horizontalDpi="0" verticalDpi="0" copies="0"/>
  <headerFooter>
    <oddFooter>&amp;L
&amp;1#&amp;10 Intern gebruik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workbookViewId="0"/>
  </sheetViews>
  <sheetFormatPr baseColWidth="10" defaultColWidth="11.5" defaultRowHeight="14.5" x14ac:dyDescent="0.2"/>
  <cols>
    <col min="1" max="1" width="4.1640625" style="7" customWidth="1"/>
    <col min="2" max="2" width="78.6640625" style="48" customWidth="1"/>
    <col min="3" max="3" width="8.83203125" style="48" customWidth="1"/>
    <col min="4" max="4" width="6.83203125" style="48" customWidth="1"/>
    <col min="5" max="5" width="35.6640625" style="48" customWidth="1"/>
    <col min="6" max="6" width="51.83203125" style="48" customWidth="1"/>
    <col min="7" max="7" width="21.1640625" style="49" customWidth="1"/>
    <col min="8" max="8" width="23.83203125" style="50" customWidth="1"/>
    <col min="9" max="9" width="4.1640625" style="7" hidden="1" customWidth="1"/>
    <col min="10" max="10" width="11.5" style="7" customWidth="1"/>
    <col min="11" max="16384" width="11.5" style="7"/>
  </cols>
  <sheetData>
    <row r="1" spans="1:22" ht="21.75" customHeight="1" x14ac:dyDescent="0.15">
      <c r="A1" s="51" t="s">
        <v>165</v>
      </c>
      <c r="B1" s="3"/>
      <c r="C1" s="3"/>
      <c r="D1" s="3"/>
      <c r="E1" s="4" t="s">
        <v>2</v>
      </c>
      <c r="F1" s="3"/>
      <c r="G1" s="51"/>
      <c r="H1" s="54"/>
      <c r="I1" s="51"/>
      <c r="J1" s="6"/>
      <c r="K1" s="6"/>
      <c r="L1" s="6"/>
      <c r="M1" s="6"/>
      <c r="N1" s="6"/>
      <c r="O1" s="6"/>
      <c r="P1" s="6"/>
      <c r="Q1" s="6"/>
      <c r="R1" s="6"/>
      <c r="S1" s="6"/>
      <c r="T1" s="6"/>
      <c r="U1" s="6"/>
      <c r="V1" s="6"/>
    </row>
    <row r="2" spans="1:22" ht="12" customHeight="1" x14ac:dyDescent="0.2">
      <c r="A2" s="8" t="s">
        <v>3</v>
      </c>
      <c r="B2" s="55"/>
      <c r="C2" s="3"/>
      <c r="D2" s="3"/>
      <c r="E2" s="15" t="s">
        <v>4</v>
      </c>
      <c r="F2" s="3"/>
      <c r="G2" s="51"/>
      <c r="H2" s="54"/>
      <c r="I2" s="6"/>
      <c r="J2" s="6"/>
      <c r="K2" s="6"/>
      <c r="L2" s="6"/>
      <c r="M2" s="6"/>
      <c r="N2" s="6"/>
      <c r="O2" s="6"/>
      <c r="P2" s="6"/>
      <c r="Q2" s="6"/>
      <c r="R2" s="6"/>
      <c r="S2" s="6"/>
      <c r="T2" s="6"/>
      <c r="U2" s="6"/>
      <c r="V2" s="6"/>
    </row>
    <row r="3" spans="1:22" ht="12" customHeight="1" x14ac:dyDescent="0.2">
      <c r="A3" s="14" t="str">
        <f>'1__Eisen_-_Algemeen'!A3</f>
        <v>Versie 1.1 - Juli 2024</v>
      </c>
      <c r="B3" s="55"/>
      <c r="C3" s="3"/>
      <c r="D3" s="3"/>
      <c r="E3" s="15" t="s">
        <v>6</v>
      </c>
      <c r="F3" s="3"/>
      <c r="G3" s="51"/>
      <c r="H3" s="54"/>
      <c r="I3" s="6"/>
      <c r="J3" s="6"/>
      <c r="K3" s="6"/>
      <c r="L3" s="6"/>
      <c r="M3" s="6"/>
      <c r="N3" s="6"/>
      <c r="O3" s="6"/>
      <c r="P3" s="6"/>
      <c r="Q3" s="6"/>
      <c r="R3" s="6"/>
      <c r="S3" s="6"/>
      <c r="T3" s="6"/>
      <c r="U3" s="6"/>
      <c r="V3" s="6"/>
    </row>
    <row r="4" spans="1:22" ht="12" customHeight="1" x14ac:dyDescent="0.2">
      <c r="A4" s="14" t="s">
        <v>7</v>
      </c>
      <c r="B4" s="55"/>
      <c r="C4" s="3"/>
      <c r="D4" s="3"/>
      <c r="E4" s="15" t="s">
        <v>8</v>
      </c>
      <c r="F4" s="3"/>
      <c r="G4" s="51"/>
      <c r="H4" s="54"/>
      <c r="I4" s="6"/>
      <c r="J4" s="6"/>
      <c r="K4" s="6"/>
      <c r="L4" s="6"/>
      <c r="M4" s="6"/>
      <c r="N4" s="6"/>
      <c r="O4" s="6"/>
      <c r="P4" s="6"/>
      <c r="Q4" s="6"/>
      <c r="R4" s="6"/>
      <c r="S4" s="6"/>
      <c r="T4" s="6"/>
      <c r="U4" s="6"/>
      <c r="V4" s="6"/>
    </row>
    <row r="5" spans="1:22" ht="12" customHeight="1" x14ac:dyDescent="0.2">
      <c r="A5" s="14" t="s">
        <v>9</v>
      </c>
      <c r="B5" s="3"/>
      <c r="C5" s="3"/>
      <c r="D5" s="3"/>
      <c r="E5" s="15" t="s">
        <v>10</v>
      </c>
      <c r="F5" s="3"/>
      <c r="G5" s="51"/>
      <c r="H5" s="54"/>
      <c r="I5" s="6"/>
      <c r="J5" s="6"/>
      <c r="K5" s="6"/>
      <c r="L5" s="6"/>
      <c r="M5" s="6"/>
      <c r="N5" s="6"/>
      <c r="O5" s="6"/>
      <c r="P5" s="6"/>
      <c r="Q5" s="6"/>
      <c r="R5" s="6"/>
      <c r="S5" s="6"/>
      <c r="T5" s="6"/>
      <c r="U5" s="6"/>
      <c r="V5" s="6"/>
    </row>
    <row r="6" spans="1:22" ht="24" x14ac:dyDescent="0.2">
      <c r="A6" s="77" t="s">
        <v>11</v>
      </c>
      <c r="B6" s="16" t="s">
        <v>12</v>
      </c>
      <c r="C6" s="16" t="s">
        <v>13</v>
      </c>
      <c r="D6" s="17" t="s">
        <v>14</v>
      </c>
      <c r="E6" s="16" t="s">
        <v>89</v>
      </c>
      <c r="F6" s="16" t="s">
        <v>90</v>
      </c>
      <c r="G6" s="18" t="s">
        <v>131</v>
      </c>
      <c r="H6" s="16" t="s">
        <v>18</v>
      </c>
      <c r="I6" s="19"/>
    </row>
    <row r="7" spans="1:22" ht="15" x14ac:dyDescent="0.2">
      <c r="A7" s="89" t="s">
        <v>166</v>
      </c>
      <c r="B7" s="90"/>
      <c r="C7" s="90"/>
      <c r="D7" s="90"/>
      <c r="E7" s="90"/>
      <c r="F7" s="90"/>
      <c r="G7" s="91"/>
      <c r="H7" s="90"/>
      <c r="I7" s="23"/>
    </row>
    <row r="8" spans="1:22" ht="15" x14ac:dyDescent="0.2">
      <c r="A8" s="81" t="str">
        <f>_xlfn.CONCAT("4.",I8)</f>
        <v>4.1</v>
      </c>
      <c r="B8" s="82" t="s">
        <v>167</v>
      </c>
      <c r="C8" s="82"/>
      <c r="D8" s="82"/>
      <c r="E8" s="82"/>
      <c r="F8" s="84"/>
      <c r="G8" s="84" t="s">
        <v>78</v>
      </c>
      <c r="H8" s="92"/>
      <c r="I8" s="27">
        <v>1</v>
      </c>
    </row>
    <row r="9" spans="1:22" ht="26" x14ac:dyDescent="0.2">
      <c r="A9" s="81" t="str">
        <f>IF(ISBLANK(B9),"",_xlfn.CONCAT("4.",I9))</f>
        <v>4.2</v>
      </c>
      <c r="B9" s="82" t="s">
        <v>168</v>
      </c>
      <c r="C9" s="82"/>
      <c r="D9" s="82"/>
      <c r="E9" s="82"/>
      <c r="F9" s="84"/>
      <c r="G9" s="84" t="s">
        <v>78</v>
      </c>
      <c r="H9" s="92"/>
      <c r="I9" s="27">
        <f t="shared" ref="I9:I40" si="0">IF(ISBLANK(B9),I8,I8+1)</f>
        <v>2</v>
      </c>
    </row>
    <row r="10" spans="1:22" ht="26" x14ac:dyDescent="0.2">
      <c r="A10" s="81" t="str">
        <f>IF(ISBLANK(B10),"",_xlfn.CONCAT("4.",I10))</f>
        <v>4.3</v>
      </c>
      <c r="B10" s="82" t="s">
        <v>169</v>
      </c>
      <c r="C10" s="82"/>
      <c r="D10" s="82"/>
      <c r="E10" s="82"/>
      <c r="F10" s="84"/>
      <c r="G10" s="84" t="s">
        <v>78</v>
      </c>
      <c r="H10" s="81"/>
      <c r="I10" s="27">
        <f t="shared" si="0"/>
        <v>3</v>
      </c>
    </row>
    <row r="11" spans="1:22" ht="15" x14ac:dyDescent="0.2">
      <c r="A11" s="81" t="str">
        <f>IF(ISBLANK(B11),"",_xlfn.CONCAT("4.",I11))</f>
        <v>4.4</v>
      </c>
      <c r="B11" s="82" t="s">
        <v>170</v>
      </c>
      <c r="C11" s="82"/>
      <c r="D11" s="82"/>
      <c r="E11" s="82"/>
      <c r="F11" s="84"/>
      <c r="G11" s="82"/>
      <c r="H11" s="92"/>
      <c r="I11" s="27">
        <f t="shared" si="0"/>
        <v>4</v>
      </c>
    </row>
    <row r="12" spans="1:22" ht="26" x14ac:dyDescent="0.2">
      <c r="A12" s="81" t="str">
        <f>IF(ISBLANK(B12),"",_xlfn.CONCAT("4.",I12))</f>
        <v>4.5</v>
      </c>
      <c r="B12" s="82" t="s">
        <v>171</v>
      </c>
      <c r="C12" s="82"/>
      <c r="D12" s="82"/>
      <c r="E12" s="84" t="s">
        <v>172</v>
      </c>
      <c r="F12" s="84"/>
      <c r="G12" s="84" t="s">
        <v>78</v>
      </c>
      <c r="H12" s="92"/>
      <c r="I12" s="27">
        <f t="shared" si="0"/>
        <v>5</v>
      </c>
    </row>
    <row r="13" spans="1:22" ht="15" x14ac:dyDescent="0.2">
      <c r="A13" s="24" t="str">
        <f>IF(ISBLANK(B13),"",_xlfn.CONCAT("4.",I13))</f>
        <v/>
      </c>
      <c r="B13" s="82"/>
      <c r="C13" s="82"/>
      <c r="D13" s="82"/>
      <c r="E13" s="82"/>
      <c r="F13" s="84"/>
      <c r="G13" s="82"/>
      <c r="H13" s="92"/>
      <c r="I13" s="27">
        <f t="shared" si="0"/>
        <v>5</v>
      </c>
    </row>
    <row r="14" spans="1:22" ht="20.25" customHeight="1" x14ac:dyDescent="0.2">
      <c r="A14" s="93" t="s">
        <v>173</v>
      </c>
      <c r="B14" s="90"/>
      <c r="C14" s="90"/>
      <c r="D14" s="90"/>
      <c r="E14" s="90"/>
      <c r="F14" s="90"/>
      <c r="G14" s="91"/>
      <c r="H14" s="90"/>
      <c r="I14" s="27">
        <f t="shared" si="0"/>
        <v>5</v>
      </c>
    </row>
    <row r="15" spans="1:22" ht="26" x14ac:dyDescent="0.2">
      <c r="A15" s="81" t="str">
        <f>IF(ISBLANK(B15),"",_xlfn.CONCAT("4.",I15))</f>
        <v>4.6</v>
      </c>
      <c r="B15" s="82" t="s">
        <v>174</v>
      </c>
      <c r="C15" s="82"/>
      <c r="D15" s="82"/>
      <c r="E15" s="82"/>
      <c r="F15" s="84"/>
      <c r="G15" s="82"/>
      <c r="H15" s="92"/>
      <c r="I15" s="27">
        <f t="shared" si="0"/>
        <v>6</v>
      </c>
    </row>
    <row r="16" spans="1:22" ht="15" x14ac:dyDescent="0.2">
      <c r="A16" s="24" t="str">
        <f>IF(ISBLANK(B16),"",_xlfn.CONCAT("4.",I16))</f>
        <v/>
      </c>
      <c r="B16" s="82"/>
      <c r="C16" s="82"/>
      <c r="D16" s="82"/>
      <c r="E16" s="82"/>
      <c r="F16" s="84"/>
      <c r="G16" s="82"/>
      <c r="H16" s="92"/>
      <c r="I16" s="27">
        <f t="shared" si="0"/>
        <v>6</v>
      </c>
    </row>
    <row r="17" spans="1:9" ht="15" x14ac:dyDescent="0.2">
      <c r="A17" s="93" t="s">
        <v>175</v>
      </c>
      <c r="B17" s="90"/>
      <c r="C17" s="90"/>
      <c r="D17" s="90"/>
      <c r="E17" s="90"/>
      <c r="F17" s="90"/>
      <c r="G17" s="91"/>
      <c r="H17" s="90"/>
      <c r="I17" s="27">
        <f t="shared" si="0"/>
        <v>6</v>
      </c>
    </row>
    <row r="18" spans="1:9" ht="52" x14ac:dyDescent="0.2">
      <c r="A18" s="81" t="str">
        <f t="shared" ref="A18:A36" si="1">IF(ISBLANK(B18),"",_xlfn.CONCAT("4.",I18))</f>
        <v>4.7</v>
      </c>
      <c r="B18" s="82" t="s">
        <v>176</v>
      </c>
      <c r="C18" s="82"/>
      <c r="D18" s="82"/>
      <c r="E18" s="84" t="s">
        <v>177</v>
      </c>
      <c r="F18" s="84" t="s">
        <v>178</v>
      </c>
      <c r="G18" s="82"/>
      <c r="H18" s="92"/>
      <c r="I18" s="27">
        <f t="shared" si="0"/>
        <v>7</v>
      </c>
    </row>
    <row r="19" spans="1:9" ht="15" x14ac:dyDescent="0.2">
      <c r="A19" s="81" t="str">
        <f t="shared" si="1"/>
        <v>4.8</v>
      </c>
      <c r="B19" s="87" t="str">
        <f>IF(D19=0,"","Omvormers hebben een fabrieksgarantie van minimaal")</f>
        <v>Omvormers hebben een fabrieksgarantie van minimaal</v>
      </c>
      <c r="C19" s="94" t="s">
        <v>179</v>
      </c>
      <c r="D19" s="29" t="s">
        <v>34</v>
      </c>
      <c r="E19" s="82"/>
      <c r="F19" s="84"/>
      <c r="G19" s="82"/>
      <c r="H19" s="92"/>
      <c r="I19" s="27">
        <f t="shared" si="0"/>
        <v>8</v>
      </c>
    </row>
    <row r="20" spans="1:9" ht="26" x14ac:dyDescent="0.2">
      <c r="A20" s="81" t="str">
        <f t="shared" si="1"/>
        <v>4.9</v>
      </c>
      <c r="B20" s="95" t="s">
        <v>180</v>
      </c>
      <c r="I20" s="27">
        <f t="shared" si="0"/>
        <v>9</v>
      </c>
    </row>
    <row r="21" spans="1:9" ht="26" x14ac:dyDescent="0.2">
      <c r="A21" s="81" t="str">
        <f t="shared" si="1"/>
        <v>4.10</v>
      </c>
      <c r="B21" s="82" t="s">
        <v>181</v>
      </c>
      <c r="C21" s="82"/>
      <c r="D21" s="82"/>
      <c r="E21" s="82"/>
      <c r="F21" s="84"/>
      <c r="G21" s="82"/>
      <c r="H21" s="92"/>
      <c r="I21" s="27">
        <f t="shared" si="0"/>
        <v>10</v>
      </c>
    </row>
    <row r="22" spans="1:9" ht="25" customHeight="1" x14ac:dyDescent="0.2">
      <c r="A22" s="81" t="str">
        <f t="shared" si="1"/>
        <v>4.11</v>
      </c>
      <c r="B22" s="82" t="s">
        <v>182</v>
      </c>
      <c r="C22" s="82"/>
      <c r="D22" s="82"/>
      <c r="E22" s="96"/>
      <c r="F22" s="84"/>
      <c r="G22" s="82"/>
      <c r="H22" s="92"/>
      <c r="I22" s="27">
        <f t="shared" si="0"/>
        <v>11</v>
      </c>
    </row>
    <row r="23" spans="1:9" ht="26" x14ac:dyDescent="0.2">
      <c r="A23" s="81" t="str">
        <f t="shared" si="1"/>
        <v>4.12</v>
      </c>
      <c r="B23" s="82" t="s">
        <v>183</v>
      </c>
      <c r="C23" s="82"/>
      <c r="D23" s="82"/>
      <c r="E23" s="82"/>
      <c r="F23" s="84"/>
      <c r="G23" s="82"/>
      <c r="H23" s="92"/>
      <c r="I23" s="27">
        <f t="shared" si="0"/>
        <v>12</v>
      </c>
    </row>
    <row r="24" spans="1:9" ht="15" x14ac:dyDescent="0.2">
      <c r="A24" s="81" t="str">
        <f t="shared" si="1"/>
        <v>4.13</v>
      </c>
      <c r="B24" s="82" t="s">
        <v>184</v>
      </c>
      <c r="C24" s="82"/>
      <c r="D24" s="82"/>
      <c r="E24" s="82"/>
      <c r="F24" s="82"/>
      <c r="G24" s="82"/>
      <c r="H24" s="92"/>
      <c r="I24" s="27">
        <f t="shared" si="0"/>
        <v>13</v>
      </c>
    </row>
    <row r="25" spans="1:9" ht="26" x14ac:dyDescent="0.2">
      <c r="A25" s="81" t="str">
        <f t="shared" si="1"/>
        <v>4.14</v>
      </c>
      <c r="B25" s="82" t="s">
        <v>185</v>
      </c>
      <c r="C25" s="82"/>
      <c r="D25" s="82"/>
      <c r="E25" s="82"/>
      <c r="F25" s="82"/>
      <c r="G25" s="82"/>
      <c r="H25" s="92"/>
      <c r="I25" s="27">
        <f t="shared" si="0"/>
        <v>14</v>
      </c>
    </row>
    <row r="26" spans="1:9" ht="26" x14ac:dyDescent="0.2">
      <c r="A26" s="81" t="str">
        <f t="shared" si="1"/>
        <v>4.15</v>
      </c>
      <c r="B26" s="82" t="s">
        <v>186</v>
      </c>
      <c r="C26" s="82"/>
      <c r="D26" s="82"/>
      <c r="E26" s="82"/>
      <c r="F26" s="82"/>
      <c r="G26" s="82"/>
      <c r="H26" s="92"/>
      <c r="I26" s="27">
        <f t="shared" si="0"/>
        <v>15</v>
      </c>
    </row>
    <row r="27" spans="1:9" ht="26" x14ac:dyDescent="0.2">
      <c r="A27" s="81" t="str">
        <f t="shared" si="1"/>
        <v>4.16</v>
      </c>
      <c r="B27" s="84" t="s">
        <v>187</v>
      </c>
      <c r="C27" s="82"/>
      <c r="D27" s="82"/>
      <c r="E27" s="82"/>
      <c r="F27" s="82"/>
      <c r="G27" s="82"/>
      <c r="H27" s="92"/>
      <c r="I27" s="27">
        <f t="shared" si="0"/>
        <v>16</v>
      </c>
    </row>
    <row r="28" spans="1:9" ht="15" x14ac:dyDescent="0.2">
      <c r="A28" s="81" t="str">
        <f t="shared" si="1"/>
        <v>4.17</v>
      </c>
      <c r="B28" s="84" t="s">
        <v>188</v>
      </c>
      <c r="C28" s="82"/>
      <c r="D28" s="82"/>
      <c r="E28" s="82"/>
      <c r="F28" s="84"/>
      <c r="G28" s="82"/>
      <c r="H28" s="92"/>
      <c r="I28" s="27">
        <f t="shared" si="0"/>
        <v>17</v>
      </c>
    </row>
    <row r="29" spans="1:9" ht="39" x14ac:dyDescent="0.2">
      <c r="A29" s="81" t="str">
        <f t="shared" si="1"/>
        <v>4.18</v>
      </c>
      <c r="B29" s="84" t="s">
        <v>189</v>
      </c>
      <c r="C29" s="82"/>
      <c r="D29" s="82"/>
      <c r="E29" s="84"/>
      <c r="F29" s="84" t="s">
        <v>190</v>
      </c>
      <c r="G29" s="82"/>
      <c r="H29" s="92"/>
      <c r="I29" s="27">
        <f t="shared" si="0"/>
        <v>18</v>
      </c>
    </row>
    <row r="30" spans="1:9" ht="15" x14ac:dyDescent="0.2">
      <c r="A30" s="81" t="str">
        <f t="shared" si="1"/>
        <v>4.19</v>
      </c>
      <c r="B30" s="84" t="s">
        <v>191</v>
      </c>
      <c r="C30" s="82"/>
      <c r="D30" s="82"/>
      <c r="E30" s="82"/>
      <c r="F30" s="84"/>
      <c r="G30" s="82"/>
      <c r="H30" s="92"/>
      <c r="I30" s="27">
        <f t="shared" si="0"/>
        <v>19</v>
      </c>
    </row>
    <row r="31" spans="1:9" ht="26" x14ac:dyDescent="0.2">
      <c r="A31" s="81" t="str">
        <f t="shared" si="1"/>
        <v>4.20</v>
      </c>
      <c r="B31" s="84" t="s">
        <v>192</v>
      </c>
      <c r="C31" s="82"/>
      <c r="D31" s="82"/>
      <c r="E31" s="82"/>
      <c r="F31" s="84"/>
      <c r="G31" s="82"/>
      <c r="H31" s="92"/>
      <c r="I31" s="27">
        <f t="shared" si="0"/>
        <v>20</v>
      </c>
    </row>
    <row r="32" spans="1:9" ht="15" x14ac:dyDescent="0.2">
      <c r="A32" s="81" t="str">
        <f t="shared" si="1"/>
        <v>4.21</v>
      </c>
      <c r="B32" s="84" t="s">
        <v>193</v>
      </c>
      <c r="C32" s="82"/>
      <c r="D32" s="82"/>
      <c r="E32" s="82"/>
      <c r="F32" s="84"/>
      <c r="G32" s="82"/>
      <c r="H32" s="92"/>
      <c r="I32" s="27">
        <f t="shared" si="0"/>
        <v>21</v>
      </c>
    </row>
    <row r="33" spans="1:9" ht="26" x14ac:dyDescent="0.2">
      <c r="A33" s="81" t="str">
        <f t="shared" si="1"/>
        <v>4.22</v>
      </c>
      <c r="B33" s="97" t="str">
        <f>IF(D33=0,"","Omvormers dienen akoestisch geïsoleerd ten opzichte van de wand of frame te worden opgesteld zodat contactgeluid naar wanden, constructies en vloeren wordt vermeden")</f>
        <v>Omvormers dienen akoestisch geïsoleerd ten opzichte van de wand of frame te worden opgesteld zodat contactgeluid naar wanden, constructies en vloeren wordt vermeden</v>
      </c>
      <c r="C33" s="82"/>
      <c r="D33" s="29" t="s">
        <v>34</v>
      </c>
      <c r="E33" s="84" t="s">
        <v>194</v>
      </c>
      <c r="F33" s="84"/>
      <c r="G33" s="82"/>
      <c r="H33" s="92"/>
      <c r="I33" s="27">
        <f t="shared" si="0"/>
        <v>22</v>
      </c>
    </row>
    <row r="34" spans="1:9" ht="15" x14ac:dyDescent="0.2">
      <c r="A34" s="81" t="str">
        <f t="shared" si="1"/>
        <v>4.23</v>
      </c>
      <c r="B34" s="97" t="str">
        <f>IF(D34=0,"","Omvormer dient bestand te zijn tegen salt mist spray volgens norm IEC 60069-2-52")</f>
        <v>Omvormer dient bestand te zijn tegen salt mist spray volgens norm IEC 60069-2-52</v>
      </c>
      <c r="C34" s="82"/>
      <c r="D34" s="29" t="s">
        <v>34</v>
      </c>
      <c r="E34" s="84" t="s">
        <v>195</v>
      </c>
      <c r="F34" s="84"/>
      <c r="G34" s="82"/>
      <c r="H34" s="92"/>
      <c r="I34" s="27">
        <f t="shared" si="0"/>
        <v>23</v>
      </c>
    </row>
    <row r="35" spans="1:9" ht="52" x14ac:dyDescent="0.2">
      <c r="A35" s="81" t="str">
        <f t="shared" si="1"/>
        <v>4.24</v>
      </c>
      <c r="B35" s="97" t="str">
        <f>IF(D35=0,"","Bij een dak opstelling dient de omvormer minimaal te worden uitgevoerd in IP65, inclusief bescherming tegen zonlicht en conform overige voorschriften van de fabrikant.")</f>
        <v>Bij een dak opstelling dient de omvormer minimaal te worden uitgevoerd in IP65, inclusief bescherming tegen zonlicht en conform overige voorschriften van de fabrikant.</v>
      </c>
      <c r="C35" s="82"/>
      <c r="D35" s="29" t="s">
        <v>34</v>
      </c>
      <c r="E35" s="84" t="s">
        <v>196</v>
      </c>
      <c r="F35" s="84"/>
      <c r="G35" s="82"/>
      <c r="H35" s="92"/>
      <c r="I35" s="27">
        <f t="shared" si="0"/>
        <v>24</v>
      </c>
    </row>
    <row r="36" spans="1:9" ht="26" x14ac:dyDescent="0.2">
      <c r="A36" s="81" t="str">
        <f t="shared" si="1"/>
        <v>4.25</v>
      </c>
      <c r="B36" s="97" t="str">
        <f>IF(D36=0,"","De omvormers dienen deugdelijk afgesloten te worden en niet bereikbaar te zijn voor onbevoegden. ")</f>
        <v xml:space="preserve">De omvormers dienen deugdelijk afgesloten te worden en niet bereikbaar te zijn voor onbevoegden. </v>
      </c>
      <c r="C36" s="82"/>
      <c r="D36" s="29" t="s">
        <v>34</v>
      </c>
      <c r="E36" s="84" t="s">
        <v>197</v>
      </c>
      <c r="F36" s="84"/>
      <c r="G36" s="82"/>
      <c r="H36" s="92"/>
      <c r="I36" s="27">
        <f t="shared" si="0"/>
        <v>25</v>
      </c>
    </row>
    <row r="37" spans="1:9" ht="15" x14ac:dyDescent="0.2">
      <c r="A37" s="98"/>
      <c r="B37" s="98"/>
      <c r="C37" s="82"/>
      <c r="D37" s="82"/>
      <c r="E37" s="82"/>
      <c r="F37" s="84"/>
      <c r="G37" s="82"/>
      <c r="H37" s="92"/>
      <c r="I37" s="27">
        <f t="shared" si="0"/>
        <v>25</v>
      </c>
    </row>
    <row r="38" spans="1:9" ht="15" x14ac:dyDescent="0.2">
      <c r="A38" s="89" t="s">
        <v>198</v>
      </c>
      <c r="B38" s="99"/>
      <c r="C38" s="99"/>
      <c r="D38" s="99"/>
      <c r="E38" s="99"/>
      <c r="F38" s="100"/>
      <c r="G38" s="99"/>
      <c r="H38" s="101"/>
      <c r="I38" s="27">
        <f t="shared" si="0"/>
        <v>25</v>
      </c>
    </row>
    <row r="39" spans="1:9" ht="15" x14ac:dyDescent="0.2">
      <c r="A39" s="81" t="str">
        <f t="shared" ref="A39:A57" si="2">IF(ISBLANK(B39),"",_xlfn.CONCAT("4.",I39))</f>
        <v>4.26</v>
      </c>
      <c r="B39" s="102" t="s">
        <v>199</v>
      </c>
      <c r="C39" s="95"/>
      <c r="D39" s="95"/>
      <c r="E39" s="103"/>
      <c r="F39" s="95"/>
      <c r="G39" s="102"/>
      <c r="H39" s="104"/>
      <c r="I39" s="27">
        <f t="shared" si="0"/>
        <v>26</v>
      </c>
    </row>
    <row r="40" spans="1:9" ht="15" x14ac:dyDescent="0.2">
      <c r="A40" s="81" t="str">
        <f t="shared" si="2"/>
        <v>4.27</v>
      </c>
      <c r="B40" s="102" t="s">
        <v>200</v>
      </c>
      <c r="C40" s="103"/>
      <c r="D40" s="103"/>
      <c r="E40" s="103"/>
      <c r="F40" s="95"/>
      <c r="G40" s="102"/>
      <c r="H40" s="104"/>
      <c r="I40" s="27">
        <f t="shared" si="0"/>
        <v>27</v>
      </c>
    </row>
    <row r="41" spans="1:9" ht="15" x14ac:dyDescent="0.2">
      <c r="A41" s="81" t="str">
        <f t="shared" si="2"/>
        <v>4.28</v>
      </c>
      <c r="B41" s="82" t="s">
        <v>201</v>
      </c>
      <c r="C41" s="105"/>
      <c r="D41" s="105"/>
      <c r="E41" s="105"/>
      <c r="F41" s="84"/>
      <c r="G41" s="82"/>
      <c r="H41" s="92"/>
      <c r="I41" s="27">
        <f t="shared" ref="I41:I65" si="3">IF(ISBLANK(B41),I40,I40+1)</f>
        <v>28</v>
      </c>
    </row>
    <row r="42" spans="1:9" ht="26" x14ac:dyDescent="0.2">
      <c r="A42" s="81" t="str">
        <f t="shared" si="2"/>
        <v>4.29</v>
      </c>
      <c r="B42" s="102" t="s">
        <v>202</v>
      </c>
      <c r="C42" s="95"/>
      <c r="D42" s="95"/>
      <c r="E42" s="103"/>
      <c r="F42" s="95"/>
      <c r="G42" s="102"/>
      <c r="H42" s="104"/>
      <c r="I42" s="27">
        <f t="shared" si="3"/>
        <v>29</v>
      </c>
    </row>
    <row r="43" spans="1:9" ht="15" x14ac:dyDescent="0.2">
      <c r="A43" s="81" t="str">
        <f t="shared" si="2"/>
        <v>4.30</v>
      </c>
      <c r="B43" s="82" t="s">
        <v>203</v>
      </c>
      <c r="C43" s="105"/>
      <c r="D43" s="105"/>
      <c r="E43" s="105"/>
      <c r="F43" s="84"/>
      <c r="G43" s="82"/>
      <c r="H43" s="92"/>
      <c r="I43" s="27">
        <f t="shared" si="3"/>
        <v>30</v>
      </c>
    </row>
    <row r="44" spans="1:9" ht="26" x14ac:dyDescent="0.2">
      <c r="A44" s="81" t="str">
        <f t="shared" si="2"/>
        <v>4.31</v>
      </c>
      <c r="B44" s="82" t="s">
        <v>204</v>
      </c>
      <c r="C44" s="105"/>
      <c r="D44" s="105"/>
      <c r="E44" s="105"/>
      <c r="F44" s="84"/>
      <c r="G44" s="82"/>
      <c r="H44" s="92"/>
      <c r="I44" s="27">
        <f t="shared" si="3"/>
        <v>31</v>
      </c>
    </row>
    <row r="45" spans="1:9" ht="15" x14ac:dyDescent="0.2">
      <c r="A45" s="81" t="str">
        <f t="shared" si="2"/>
        <v>4.32</v>
      </c>
      <c r="B45" s="82" t="s">
        <v>205</v>
      </c>
      <c r="C45" s="105"/>
      <c r="D45" s="105"/>
      <c r="E45" s="105"/>
      <c r="F45" s="84"/>
      <c r="G45" s="82" t="s">
        <v>206</v>
      </c>
      <c r="H45" s="92"/>
      <c r="I45" s="27">
        <f t="shared" si="3"/>
        <v>32</v>
      </c>
    </row>
    <row r="46" spans="1:9" ht="15" x14ac:dyDescent="0.2">
      <c r="A46" s="81" t="str">
        <f t="shared" si="2"/>
        <v>4.33</v>
      </c>
      <c r="B46" s="102" t="s">
        <v>207</v>
      </c>
      <c r="C46" s="103"/>
      <c r="D46" s="103"/>
      <c r="E46" s="103"/>
      <c r="F46" s="95"/>
      <c r="G46" s="102"/>
      <c r="H46" s="104"/>
      <c r="I46" s="27">
        <f t="shared" si="3"/>
        <v>33</v>
      </c>
    </row>
    <row r="47" spans="1:9" ht="39" x14ac:dyDescent="0.2">
      <c r="A47" s="81" t="str">
        <f t="shared" si="2"/>
        <v>4.34</v>
      </c>
      <c r="B47" s="82" t="s">
        <v>208</v>
      </c>
      <c r="C47" s="84"/>
      <c r="D47" s="84"/>
      <c r="E47" s="84" t="s">
        <v>209</v>
      </c>
      <c r="F47" s="84"/>
      <c r="G47" s="82"/>
      <c r="H47" s="92"/>
      <c r="I47" s="27">
        <f t="shared" si="3"/>
        <v>34</v>
      </c>
    </row>
    <row r="48" spans="1:9" ht="26" x14ac:dyDescent="0.2">
      <c r="A48" s="81" t="str">
        <f t="shared" si="2"/>
        <v>4.35</v>
      </c>
      <c r="B48" s="87" t="str">
        <f>IF(D48=0,"","Indien een installatie meerdere stringleidingen bevat dienen deze conform EIC 60364-7-712 te zijn beveiligd tegen overbelastingstromen met smeltbeveiligingen op plus- en min zijde, of via afdoende dimensionering")</f>
        <v>Indien een installatie meerdere stringleidingen bevat dienen deze conform EIC 60364-7-712 te zijn beveiligd tegen overbelastingstromen met smeltbeveiligingen op plus- en min zijde, of via afdoende dimensionering</v>
      </c>
      <c r="C48" s="82"/>
      <c r="D48" s="29" t="s">
        <v>34</v>
      </c>
      <c r="E48" s="105"/>
      <c r="F48" s="84"/>
      <c r="G48" s="82"/>
      <c r="H48" s="92"/>
      <c r="I48" s="27">
        <f t="shared" si="3"/>
        <v>35</v>
      </c>
    </row>
    <row r="49" spans="1:9" ht="15" x14ac:dyDescent="0.2">
      <c r="A49" s="81" t="str">
        <f t="shared" si="2"/>
        <v>4.36</v>
      </c>
      <c r="B49" s="87" t="str">
        <f>IF(D49=0,"","Kabels voldoen aan de CPR-regeling klasse Cca volgens de NTA8012. ")</f>
        <v xml:space="preserve">Kabels voldoen aan de CPR-regeling klasse Cca volgens de NTA8012. </v>
      </c>
      <c r="C49" s="82"/>
      <c r="D49" s="29" t="s">
        <v>34</v>
      </c>
      <c r="E49" s="105"/>
      <c r="F49" s="84"/>
      <c r="G49" s="82"/>
      <c r="H49" s="92"/>
      <c r="I49" s="27">
        <f t="shared" si="3"/>
        <v>36</v>
      </c>
    </row>
    <row r="50" spans="1:9" ht="15" x14ac:dyDescent="0.2">
      <c r="A50" s="81" t="str">
        <f t="shared" si="2"/>
        <v>4.37</v>
      </c>
      <c r="B50" s="102" t="s">
        <v>210</v>
      </c>
      <c r="C50" s="102"/>
      <c r="D50" s="102"/>
      <c r="E50" s="102"/>
      <c r="F50" s="95"/>
      <c r="G50" s="102"/>
      <c r="H50" s="104"/>
      <c r="I50" s="27">
        <f t="shared" si="3"/>
        <v>37</v>
      </c>
    </row>
    <row r="51" spans="1:9" ht="42" customHeight="1" x14ac:dyDescent="0.2">
      <c r="A51" s="81" t="str">
        <f t="shared" si="2"/>
        <v>4.38</v>
      </c>
      <c r="B51" s="82" t="s">
        <v>211</v>
      </c>
      <c r="C51" s="82"/>
      <c r="D51" s="82"/>
      <c r="E51" s="105"/>
      <c r="F51" s="84"/>
      <c r="G51" s="82"/>
      <c r="H51" s="92"/>
      <c r="I51" s="27">
        <f t="shared" si="3"/>
        <v>38</v>
      </c>
    </row>
    <row r="52" spans="1:9" ht="26" x14ac:dyDescent="0.2">
      <c r="A52" s="81" t="str">
        <f t="shared" si="2"/>
        <v>4.39</v>
      </c>
      <c r="B52" s="82" t="s">
        <v>212</v>
      </c>
      <c r="C52" s="82"/>
      <c r="D52" s="82"/>
      <c r="E52" s="82"/>
      <c r="F52" s="84"/>
      <c r="G52" s="82"/>
      <c r="H52" s="92"/>
      <c r="I52" s="27">
        <f t="shared" si="3"/>
        <v>39</v>
      </c>
    </row>
    <row r="53" spans="1:9" ht="15" x14ac:dyDescent="0.2">
      <c r="A53" s="81" t="str">
        <f t="shared" si="2"/>
        <v>4.40</v>
      </c>
      <c r="B53" s="82" t="s">
        <v>213</v>
      </c>
      <c r="C53" s="82"/>
      <c r="D53" s="82"/>
      <c r="E53" s="82"/>
      <c r="F53" s="84"/>
      <c r="G53" s="82"/>
      <c r="H53" s="92"/>
      <c r="I53" s="27">
        <f t="shared" si="3"/>
        <v>40</v>
      </c>
    </row>
    <row r="54" spans="1:9" ht="15" x14ac:dyDescent="0.2">
      <c r="A54" s="81" t="str">
        <f t="shared" si="2"/>
        <v>4.41</v>
      </c>
      <c r="B54" s="82" t="s">
        <v>214</v>
      </c>
      <c r="C54" s="82"/>
      <c r="D54" s="82"/>
      <c r="E54" s="82"/>
      <c r="F54" s="84"/>
      <c r="G54" s="82"/>
      <c r="H54" s="92"/>
      <c r="I54" s="27">
        <f t="shared" si="3"/>
        <v>41</v>
      </c>
    </row>
    <row r="55" spans="1:9" ht="39" x14ac:dyDescent="0.2">
      <c r="A55" s="81" t="str">
        <f t="shared" si="2"/>
        <v>4.42</v>
      </c>
      <c r="B55" s="82" t="s">
        <v>215</v>
      </c>
      <c r="C55" s="82"/>
      <c r="D55" s="82"/>
      <c r="E55" s="82"/>
      <c r="F55" s="84" t="s">
        <v>216</v>
      </c>
      <c r="G55" s="82"/>
      <c r="H55" s="92"/>
      <c r="I55" s="27">
        <f t="shared" si="3"/>
        <v>42</v>
      </c>
    </row>
    <row r="56" spans="1:9" ht="15" x14ac:dyDescent="0.2">
      <c r="A56" s="81" t="str">
        <f t="shared" si="2"/>
        <v>4.43</v>
      </c>
      <c r="B56" s="102" t="s">
        <v>217</v>
      </c>
      <c r="C56" s="102"/>
      <c r="D56" s="102"/>
      <c r="E56" s="102"/>
      <c r="F56" s="95"/>
      <c r="G56" s="102"/>
      <c r="H56" s="104"/>
      <c r="I56" s="27">
        <f t="shared" si="3"/>
        <v>43</v>
      </c>
    </row>
    <row r="57" spans="1:9" ht="26" x14ac:dyDescent="0.2">
      <c r="A57" s="81" t="str">
        <f t="shared" si="2"/>
        <v>4.44</v>
      </c>
      <c r="B57" s="82" t="s">
        <v>218</v>
      </c>
      <c r="C57" s="82"/>
      <c r="D57" s="82"/>
      <c r="E57" s="82"/>
      <c r="F57" s="84"/>
      <c r="G57" s="82"/>
      <c r="H57" s="92"/>
      <c r="I57" s="27">
        <f t="shared" si="3"/>
        <v>44</v>
      </c>
    </row>
    <row r="58" spans="1:9" ht="15" x14ac:dyDescent="0.2">
      <c r="A58" s="89" t="s">
        <v>219</v>
      </c>
      <c r="B58" s="106"/>
      <c r="C58" s="106"/>
      <c r="D58" s="106"/>
      <c r="E58" s="106"/>
      <c r="F58" s="107"/>
      <c r="G58" s="106"/>
      <c r="H58" s="108"/>
      <c r="I58" s="27">
        <f t="shared" si="3"/>
        <v>44</v>
      </c>
    </row>
    <row r="59" spans="1:9" ht="26" x14ac:dyDescent="0.2">
      <c r="A59" s="81" t="str">
        <f>IF(ISBLANK(B59),"",_xlfn.CONCAT("4.",I59))</f>
        <v>4.45</v>
      </c>
      <c r="B59" s="82" t="s">
        <v>220</v>
      </c>
      <c r="C59" s="82"/>
      <c r="D59" s="82"/>
      <c r="E59" s="84" t="s">
        <v>221</v>
      </c>
      <c r="F59" s="84"/>
      <c r="G59" s="82"/>
      <c r="H59" s="92"/>
      <c r="I59" s="27">
        <f t="shared" si="3"/>
        <v>45</v>
      </c>
    </row>
    <row r="60" spans="1:9" ht="52" x14ac:dyDescent="0.2">
      <c r="A60" s="81" t="str">
        <f>IF(ISBLANK(B60),"",_xlfn.CONCAT("4.",I60))</f>
        <v>4.46</v>
      </c>
      <c r="B60" s="82" t="s">
        <v>222</v>
      </c>
      <c r="C60" s="82"/>
      <c r="D60" s="82"/>
      <c r="E60" s="82"/>
      <c r="F60" s="84"/>
      <c r="G60" s="82"/>
      <c r="H60" s="92"/>
      <c r="I60" s="27">
        <f t="shared" si="3"/>
        <v>46</v>
      </c>
    </row>
    <row r="61" spans="1:9" ht="15" x14ac:dyDescent="0.2">
      <c r="A61" s="109" t="str">
        <f>IF(ISBLANK(B61),"",_xlfn.CONCAT("4.",I61))</f>
        <v/>
      </c>
      <c r="B61" s="102"/>
      <c r="C61" s="102"/>
      <c r="D61" s="102"/>
      <c r="E61" s="102"/>
      <c r="F61" s="95"/>
      <c r="G61" s="102"/>
      <c r="H61" s="104"/>
      <c r="I61" s="27">
        <f t="shared" si="3"/>
        <v>46</v>
      </c>
    </row>
    <row r="62" spans="1:9" ht="15" x14ac:dyDescent="0.2">
      <c r="A62" s="110" t="s">
        <v>223</v>
      </c>
      <c r="B62" s="87"/>
      <c r="C62" s="82"/>
      <c r="D62" s="87"/>
      <c r="E62" s="87"/>
      <c r="F62" s="97"/>
      <c r="G62" s="87"/>
      <c r="H62" s="111"/>
      <c r="I62" s="27">
        <f t="shared" si="3"/>
        <v>46</v>
      </c>
    </row>
    <row r="63" spans="1:9" ht="26" x14ac:dyDescent="0.2">
      <c r="A63" s="81" t="str">
        <f>IF(ISBLANK(B63),"",_xlfn.CONCAT("4.",I63))</f>
        <v>4.47</v>
      </c>
      <c r="B63" s="87" t="str">
        <f>IF(D63=0,"","Reparabel. De fabrikant heeft een service center in Europa dat omvormers kan repareren, of er zijn externe bedrijven in Europa die geautoriseerd zijn om omvormers te repareren.")</f>
        <v>Reparabel. De fabrikant heeft een service center in Europa dat omvormers kan repareren, of er zijn externe bedrijven in Europa die geautoriseerd zijn om omvormers te repareren.</v>
      </c>
      <c r="C63" s="82"/>
      <c r="D63" s="29" t="s">
        <v>34</v>
      </c>
      <c r="E63" s="82"/>
      <c r="F63" s="84"/>
      <c r="G63" s="82"/>
      <c r="H63" s="92"/>
      <c r="I63" s="27">
        <f t="shared" si="3"/>
        <v>47</v>
      </c>
    </row>
    <row r="64" spans="1:9" ht="65" x14ac:dyDescent="0.2">
      <c r="A64" s="81" t="str">
        <f>IF(ISBLANK(B64),"",_xlfn.CONCAT("4.",I64))</f>
        <v>4.48</v>
      </c>
      <c r="B64" s="87" t="str">
        <f>IF(D64=0,"","Elke omvormer moet onderstaande functies bieden:
- Instellen parameters;
- Melding zodra de spanning (AC- of DC) wegvalt;
- Inzicht in net-parameters (frequentie, spanning, etc) 
- Afschakelen zodra het net buiten toegestane marge komt")</f>
        <v>Elke omvormer moet onderstaande functies bieden:
- Instellen parameters;
- Melding zodra de spanning (AC- of DC) wegvalt;
- Inzicht in net-parameters (frequentie, spanning, etc) 
- Afschakelen zodra het net buiten toegestane marge komt</v>
      </c>
      <c r="C64" s="82"/>
      <c r="D64" s="29" t="s">
        <v>34</v>
      </c>
      <c r="E64" s="82"/>
      <c r="F64" s="84"/>
      <c r="G64" s="82"/>
      <c r="H64" s="92"/>
      <c r="I64" s="27">
        <f t="shared" si="3"/>
        <v>48</v>
      </c>
    </row>
    <row r="65" spans="1:9" ht="39" x14ac:dyDescent="0.2">
      <c r="A65" s="81" t="str">
        <f>IF(ISBLANK(B65),"",_xlfn.CONCAT("4.",I65))</f>
        <v>4.49</v>
      </c>
      <c r="B65" s="112" t="str">
        <f>IF(D65=0,"","Omvormers dienen de mogelijkheid te hebben om de opgewekte energie af te stemmen op de elektriciteitsvraag van de locatie, om teruglevering aan het net te voorkomen. ")</f>
        <v xml:space="preserve">Omvormers dienen de mogelijkheid te hebben om de opgewekte energie af te stemmen op de elektriciteitsvraag van de locatie, om teruglevering aan het net te voorkomen. </v>
      </c>
      <c r="C65" s="102"/>
      <c r="D65" s="29" t="s">
        <v>34</v>
      </c>
      <c r="E65" s="95" t="s">
        <v>224</v>
      </c>
      <c r="F65" s="95"/>
      <c r="G65" s="102"/>
      <c r="H65" s="104"/>
      <c r="I65" s="27">
        <f t="shared" si="3"/>
        <v>49</v>
      </c>
    </row>
    <row r="66" spans="1:9" ht="15" x14ac:dyDescent="0.2">
      <c r="A66" s="48"/>
      <c r="I66" s="48"/>
    </row>
  </sheetData>
  <printOptions horizontalCentered="1" verticalCentered="1"/>
  <pageMargins left="0.23622047244094499" right="0.23622047244094499" top="0.74803149606299202" bottom="0.74803149606299202" header="0.31496062992126" footer="0.31496062992126"/>
  <pageSetup paperSize="0" fitToWidth="0" fitToHeight="0" orientation="landscape" horizontalDpi="0" verticalDpi="0" copies="0"/>
  <headerFooter>
    <oddFooter>&amp;L
&amp;1#&amp;10 Intern gebruik</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workbookViewId="0"/>
  </sheetViews>
  <sheetFormatPr baseColWidth="10" defaultColWidth="11.5" defaultRowHeight="14.5" outlineLevelRow="1" x14ac:dyDescent="0.2"/>
  <cols>
    <col min="1" max="1" width="4.5" style="7" customWidth="1"/>
    <col min="2" max="2" width="69" style="48" customWidth="1"/>
    <col min="3" max="3" width="13" style="48" customWidth="1"/>
    <col min="4" max="4" width="6.33203125" style="48" customWidth="1"/>
    <col min="5" max="5" width="62.5" style="48" customWidth="1"/>
    <col min="6" max="6" width="65.5" style="48" customWidth="1"/>
    <col min="7" max="7" width="36.83203125" style="49" customWidth="1"/>
    <col min="8" max="8" width="38.83203125" style="50" customWidth="1"/>
    <col min="9" max="9" width="3.5" style="7" customWidth="1"/>
    <col min="10" max="10" width="11.5" style="7" customWidth="1"/>
    <col min="11" max="16384" width="11.5" style="7"/>
  </cols>
  <sheetData>
    <row r="1" spans="1:29" ht="21.75" customHeight="1" x14ac:dyDescent="0.15">
      <c r="A1" s="2" t="s">
        <v>225</v>
      </c>
      <c r="B1" s="3"/>
      <c r="C1" s="3"/>
      <c r="D1" s="3"/>
      <c r="E1" s="4" t="s">
        <v>2</v>
      </c>
      <c r="F1" s="3"/>
      <c r="G1" s="51"/>
      <c r="H1" s="54"/>
      <c r="I1" s="51"/>
      <c r="J1" s="6"/>
      <c r="K1" s="6"/>
      <c r="L1" s="6"/>
      <c r="M1" s="6"/>
      <c r="N1" s="6"/>
      <c r="O1" s="6"/>
      <c r="P1" s="6"/>
      <c r="Q1" s="6"/>
      <c r="R1" s="6"/>
      <c r="S1" s="6"/>
      <c r="T1" s="6"/>
      <c r="U1" s="6"/>
      <c r="V1" s="6"/>
      <c r="W1" s="6"/>
      <c r="X1" s="6"/>
      <c r="Y1" s="6"/>
      <c r="Z1" s="6"/>
      <c r="AA1" s="6"/>
      <c r="AB1" s="6"/>
      <c r="AC1" s="6"/>
    </row>
    <row r="2" spans="1:29" ht="11" customHeight="1" x14ac:dyDescent="0.2">
      <c r="A2" s="8" t="s">
        <v>3</v>
      </c>
      <c r="B2" s="3"/>
      <c r="C2" s="3"/>
      <c r="D2" s="3"/>
      <c r="E2" s="15" t="s">
        <v>4</v>
      </c>
      <c r="F2" s="3"/>
      <c r="G2" s="51"/>
      <c r="H2" s="54"/>
      <c r="I2" s="6"/>
      <c r="J2" s="6"/>
      <c r="K2" s="6"/>
      <c r="L2" s="6"/>
      <c r="M2" s="6"/>
      <c r="N2" s="6"/>
      <c r="O2" s="6"/>
      <c r="P2" s="6"/>
      <c r="Q2" s="6"/>
      <c r="R2" s="6"/>
      <c r="S2" s="6"/>
      <c r="T2" s="6"/>
      <c r="U2" s="6"/>
      <c r="V2" s="6"/>
      <c r="W2" s="6"/>
      <c r="X2" s="6"/>
      <c r="Y2" s="6"/>
      <c r="Z2" s="6"/>
      <c r="AA2" s="6"/>
      <c r="AB2" s="6"/>
      <c r="AC2" s="6"/>
    </row>
    <row r="3" spans="1:29" ht="11" customHeight="1" x14ac:dyDescent="0.2">
      <c r="A3" s="14" t="str">
        <f>'1__Eisen_-_Algemeen'!A3</f>
        <v>Versie 1.1 - Juli 2024</v>
      </c>
      <c r="B3" s="3"/>
      <c r="C3" s="3"/>
      <c r="D3" s="3"/>
      <c r="E3" s="15" t="s">
        <v>6</v>
      </c>
      <c r="F3" s="3"/>
      <c r="G3" s="51"/>
      <c r="H3" s="54"/>
      <c r="I3" s="6"/>
      <c r="J3" s="6"/>
      <c r="K3" s="6"/>
      <c r="L3" s="6"/>
      <c r="M3" s="6"/>
      <c r="N3" s="6"/>
      <c r="O3" s="6"/>
      <c r="P3" s="6"/>
      <c r="Q3" s="6"/>
      <c r="R3" s="6"/>
      <c r="S3" s="6"/>
      <c r="T3" s="6"/>
      <c r="U3" s="6"/>
      <c r="V3" s="6"/>
      <c r="W3" s="6"/>
      <c r="X3" s="6"/>
      <c r="Y3" s="6"/>
      <c r="Z3" s="6"/>
      <c r="AA3" s="6"/>
      <c r="AB3" s="6"/>
      <c r="AC3" s="6"/>
    </row>
    <row r="4" spans="1:29" ht="11" customHeight="1" x14ac:dyDescent="0.2">
      <c r="A4" s="14" t="s">
        <v>7</v>
      </c>
      <c r="B4" s="3"/>
      <c r="C4" s="3"/>
      <c r="D4" s="3"/>
      <c r="E4" s="15" t="s">
        <v>8</v>
      </c>
      <c r="F4" s="3"/>
      <c r="G4" s="51"/>
      <c r="H4" s="54"/>
      <c r="I4" s="6"/>
      <c r="J4" s="6"/>
      <c r="K4" s="6"/>
      <c r="L4" s="6"/>
      <c r="M4" s="6"/>
      <c r="N4" s="6"/>
      <c r="O4" s="6"/>
      <c r="P4" s="6"/>
      <c r="Q4" s="6"/>
      <c r="R4" s="6"/>
      <c r="S4" s="6"/>
      <c r="T4" s="6"/>
      <c r="U4" s="6"/>
      <c r="V4" s="6"/>
      <c r="W4" s="6"/>
      <c r="X4" s="6"/>
      <c r="Y4" s="6"/>
      <c r="Z4" s="6"/>
      <c r="AA4" s="6"/>
      <c r="AB4" s="6"/>
      <c r="AC4" s="6"/>
    </row>
    <row r="5" spans="1:29" ht="11" customHeight="1" x14ac:dyDescent="0.2">
      <c r="A5" s="14" t="s">
        <v>9</v>
      </c>
      <c r="B5" s="3"/>
      <c r="C5" s="3"/>
      <c r="D5" s="3"/>
      <c r="E5" s="15" t="s">
        <v>10</v>
      </c>
      <c r="F5" s="3"/>
      <c r="G5" s="51"/>
      <c r="H5" s="54"/>
      <c r="I5" s="6"/>
      <c r="J5" s="6"/>
      <c r="K5" s="6"/>
      <c r="L5" s="6"/>
      <c r="M5" s="6"/>
      <c r="N5" s="6"/>
      <c r="O5" s="6"/>
      <c r="P5" s="6"/>
      <c r="Q5" s="6"/>
      <c r="R5" s="6"/>
      <c r="S5" s="6"/>
      <c r="T5" s="6"/>
      <c r="U5" s="6"/>
      <c r="V5" s="6"/>
      <c r="W5" s="6"/>
      <c r="X5" s="6"/>
      <c r="Y5" s="6"/>
      <c r="Z5" s="6"/>
      <c r="AA5" s="6"/>
      <c r="AB5" s="6"/>
      <c r="AC5" s="6"/>
    </row>
    <row r="6" spans="1:29" ht="24" x14ac:dyDescent="0.2">
      <c r="A6" s="77" t="s">
        <v>11</v>
      </c>
      <c r="B6" s="16" t="s">
        <v>12</v>
      </c>
      <c r="C6" s="16" t="s">
        <v>13</v>
      </c>
      <c r="D6" s="17" t="s">
        <v>14</v>
      </c>
      <c r="E6" s="16" t="s">
        <v>89</v>
      </c>
      <c r="F6" s="16" t="s">
        <v>90</v>
      </c>
      <c r="G6" s="18" t="s">
        <v>131</v>
      </c>
      <c r="H6" s="16" t="s">
        <v>18</v>
      </c>
      <c r="I6" s="19"/>
      <c r="J6" s="6"/>
      <c r="K6" s="6"/>
      <c r="L6" s="6"/>
      <c r="M6" s="6"/>
      <c r="N6" s="6"/>
    </row>
    <row r="7" spans="1:29" ht="16" outlineLevel="1" x14ac:dyDescent="0.2">
      <c r="A7" s="113" t="s">
        <v>226</v>
      </c>
      <c r="B7" s="114"/>
      <c r="C7" s="114"/>
      <c r="D7" s="114"/>
      <c r="E7" s="114"/>
      <c r="F7" s="115"/>
      <c r="G7" s="114"/>
      <c r="H7" s="116"/>
      <c r="I7" s="23"/>
      <c r="J7" s="6"/>
      <c r="K7" s="6"/>
      <c r="L7" s="6"/>
      <c r="M7" s="6"/>
      <c r="N7" s="6"/>
    </row>
    <row r="8" spans="1:29" ht="15" outlineLevel="1" x14ac:dyDescent="0.2">
      <c r="A8" s="81" t="str">
        <f>_xlfn.CONCAT("5.",I8)</f>
        <v>5.1</v>
      </c>
      <c r="B8" s="82" t="s">
        <v>227</v>
      </c>
      <c r="C8" s="82"/>
      <c r="D8" s="82"/>
      <c r="E8" s="82"/>
      <c r="F8" s="84"/>
      <c r="G8" s="84"/>
      <c r="H8" s="84"/>
      <c r="I8" s="27">
        <v>1</v>
      </c>
      <c r="J8" s="6"/>
      <c r="K8" s="6"/>
      <c r="L8" s="6"/>
      <c r="M8" s="6"/>
      <c r="N8" s="6"/>
    </row>
    <row r="9" spans="1:29" ht="15" outlineLevel="1" x14ac:dyDescent="0.2">
      <c r="A9" s="81" t="str">
        <f>_xlfn.CONCAT("5.",I9)</f>
        <v>5.2</v>
      </c>
      <c r="B9" s="82" t="s">
        <v>228</v>
      </c>
      <c r="C9" s="82"/>
      <c r="D9" s="82"/>
      <c r="E9" s="82"/>
      <c r="F9" s="84" t="s">
        <v>229</v>
      </c>
      <c r="G9" s="84"/>
      <c r="H9" s="84"/>
      <c r="I9" s="27">
        <f>IF(ISBLANK(B9),I8,I8+1)</f>
        <v>2</v>
      </c>
      <c r="J9" s="6"/>
      <c r="K9" s="6"/>
      <c r="L9" s="6"/>
      <c r="M9" s="6"/>
      <c r="N9" s="6"/>
    </row>
    <row r="10" spans="1:29" ht="26" outlineLevel="1" x14ac:dyDescent="0.2">
      <c r="A10" s="81" t="str">
        <f>_xlfn.CONCAT("5.",I10)</f>
        <v>5.3</v>
      </c>
      <c r="B10" s="82" t="s">
        <v>230</v>
      </c>
      <c r="C10" s="82"/>
      <c r="D10" s="82"/>
      <c r="E10" s="82"/>
      <c r="F10" s="84" t="s">
        <v>231</v>
      </c>
      <c r="G10" s="84"/>
      <c r="H10" s="84"/>
      <c r="I10" s="27">
        <f>IF(ISBLANK(B10),I9,I9+1)</f>
        <v>3</v>
      </c>
      <c r="J10" s="6"/>
      <c r="K10" s="6"/>
      <c r="L10" s="6"/>
      <c r="M10" s="6"/>
      <c r="N10" s="6"/>
    </row>
    <row r="11" spans="1:29" ht="52" outlineLevel="1" x14ac:dyDescent="0.2">
      <c r="A11" s="81" t="str">
        <f>_xlfn.CONCAT("5.",I11)</f>
        <v>5.4</v>
      </c>
      <c r="B11" s="82" t="s">
        <v>232</v>
      </c>
      <c r="C11" s="82"/>
      <c r="D11" s="82"/>
      <c r="E11" s="82"/>
      <c r="F11" s="84" t="s">
        <v>233</v>
      </c>
      <c r="G11" s="84"/>
      <c r="H11" s="84"/>
      <c r="I11" s="27">
        <f>IF(ISBLANK(B11),I10,I10+1)</f>
        <v>4</v>
      </c>
      <c r="J11" s="6"/>
      <c r="K11" s="6"/>
      <c r="L11" s="6"/>
      <c r="M11" s="6"/>
      <c r="N11" s="6"/>
    </row>
    <row r="12" spans="1:29" ht="16" outlineLevel="1" x14ac:dyDescent="0.2">
      <c r="A12" s="117" t="s">
        <v>234</v>
      </c>
      <c r="B12" s="114"/>
      <c r="C12" s="114"/>
      <c r="D12" s="114"/>
      <c r="E12" s="114"/>
      <c r="F12" s="115"/>
      <c r="G12" s="114"/>
      <c r="H12" s="116"/>
      <c r="I12" s="23"/>
      <c r="J12" s="6"/>
      <c r="K12" s="6"/>
      <c r="L12" s="6"/>
      <c r="M12" s="6"/>
      <c r="N12" s="6"/>
    </row>
    <row r="13" spans="1:29" ht="52" outlineLevel="1" x14ac:dyDescent="0.2">
      <c r="A13" s="81" t="str">
        <f>_xlfn.CONCAT("5.",I13)</f>
        <v>5.5</v>
      </c>
      <c r="B13" s="82" t="s">
        <v>235</v>
      </c>
      <c r="C13" s="81"/>
      <c r="D13" s="24"/>
      <c r="E13" s="118" t="s">
        <v>236</v>
      </c>
      <c r="F13" s="84" t="s">
        <v>237</v>
      </c>
      <c r="G13" s="84" t="s">
        <v>238</v>
      </c>
      <c r="H13" s="84" t="s">
        <v>239</v>
      </c>
      <c r="I13" s="27">
        <f>IF(ISBLANK(B13),I11,I11+1)</f>
        <v>5</v>
      </c>
      <c r="J13" s="6"/>
      <c r="K13" s="6"/>
      <c r="L13" s="6"/>
      <c r="M13" s="6"/>
      <c r="N13" s="6"/>
    </row>
    <row r="14" spans="1:29" ht="52" outlineLevel="1" x14ac:dyDescent="0.2">
      <c r="A14" s="81" t="str">
        <f t="shared" ref="A14:A20" si="0">IF(ISBLANK(B14),"",_xlfn.CONCAT("5.",I14))</f>
        <v>5.6</v>
      </c>
      <c r="B14" s="82" t="s">
        <v>240</v>
      </c>
      <c r="C14" s="81"/>
      <c r="D14" s="24"/>
      <c r="E14" s="40"/>
      <c r="F14" s="84" t="s">
        <v>241</v>
      </c>
      <c r="G14" s="84" t="s">
        <v>242</v>
      </c>
      <c r="H14" s="84" t="s">
        <v>239</v>
      </c>
      <c r="I14" s="27">
        <f t="shared" ref="I14:I25" si="1">IF(ISBLANK(B14),I13,I13+1)</f>
        <v>6</v>
      </c>
      <c r="J14" s="6"/>
      <c r="K14" s="6"/>
      <c r="L14" s="6"/>
      <c r="M14" s="6"/>
      <c r="N14" s="6"/>
    </row>
    <row r="15" spans="1:29" ht="15" outlineLevel="1" x14ac:dyDescent="0.2">
      <c r="A15" s="81" t="str">
        <f t="shared" si="0"/>
        <v>5.7</v>
      </c>
      <c r="B15" s="82" t="s">
        <v>243</v>
      </c>
      <c r="C15" s="82"/>
      <c r="D15" s="40"/>
      <c r="E15" s="40"/>
      <c r="F15" s="84"/>
      <c r="G15" s="84" t="s">
        <v>78</v>
      </c>
      <c r="H15" s="88"/>
      <c r="I15" s="27">
        <f t="shared" si="1"/>
        <v>7</v>
      </c>
      <c r="J15" s="6"/>
      <c r="K15" s="6"/>
      <c r="L15" s="6"/>
      <c r="M15" s="6"/>
      <c r="N15" s="6"/>
    </row>
    <row r="16" spans="1:29" ht="26" outlineLevel="1" x14ac:dyDescent="0.2">
      <c r="A16" s="81" t="str">
        <f t="shared" si="0"/>
        <v>5.8</v>
      </c>
      <c r="B16" s="87" t="str">
        <f>IF(D16=0,"","Er moet een adequate installatie voor bliksemafleiding worden aangelegd")</f>
        <v>Er moet een adequate installatie voor bliksemafleiding worden aangelegd</v>
      </c>
      <c r="C16" s="82"/>
      <c r="D16" s="29" t="s">
        <v>34</v>
      </c>
      <c r="E16" s="118" t="s">
        <v>244</v>
      </c>
      <c r="F16" s="84" t="s">
        <v>245</v>
      </c>
      <c r="G16" s="84" t="s">
        <v>78</v>
      </c>
      <c r="H16" s="88"/>
      <c r="I16" s="27">
        <f t="shared" si="1"/>
        <v>8</v>
      </c>
      <c r="J16" s="6"/>
      <c r="K16" s="6"/>
      <c r="L16" s="6"/>
      <c r="M16" s="6"/>
      <c r="N16" s="6"/>
    </row>
    <row r="17" spans="1:14" ht="39" outlineLevel="1" x14ac:dyDescent="0.2">
      <c r="A17" s="81" t="str">
        <f t="shared" si="0"/>
        <v>5.9</v>
      </c>
      <c r="B17" s="82" t="s">
        <v>246</v>
      </c>
      <c r="C17" s="81"/>
      <c r="D17" s="24"/>
      <c r="E17" s="119"/>
      <c r="F17" s="84" t="s">
        <v>247</v>
      </c>
      <c r="G17" s="84" t="s">
        <v>248</v>
      </c>
      <c r="H17" s="88"/>
      <c r="I17" s="27">
        <f t="shared" si="1"/>
        <v>9</v>
      </c>
      <c r="J17" s="6"/>
      <c r="K17" s="6"/>
      <c r="L17" s="6"/>
      <c r="M17" s="6"/>
      <c r="N17" s="6"/>
    </row>
    <row r="18" spans="1:14" ht="52" outlineLevel="1" x14ac:dyDescent="0.2">
      <c r="A18" s="81" t="str">
        <f t="shared" si="0"/>
        <v>5.10</v>
      </c>
      <c r="B18" s="82" t="s">
        <v>249</v>
      </c>
      <c r="C18" s="81"/>
      <c r="D18" s="24"/>
      <c r="E18" s="119"/>
      <c r="F18" s="84" t="s">
        <v>250</v>
      </c>
      <c r="G18" s="84" t="s">
        <v>78</v>
      </c>
      <c r="H18" s="84" t="s">
        <v>251</v>
      </c>
      <c r="I18" s="27">
        <f t="shared" si="1"/>
        <v>10</v>
      </c>
      <c r="J18" s="6"/>
      <c r="K18" s="6"/>
      <c r="L18" s="6"/>
      <c r="M18" s="6"/>
      <c r="N18" s="6"/>
    </row>
    <row r="19" spans="1:14" ht="26" outlineLevel="1" x14ac:dyDescent="0.2">
      <c r="A19" s="81" t="str">
        <f t="shared" si="0"/>
        <v>5.11</v>
      </c>
      <c r="B19" s="82" t="s">
        <v>252</v>
      </c>
      <c r="C19" s="81"/>
      <c r="D19" s="24"/>
      <c r="E19" s="40"/>
      <c r="F19" s="84"/>
      <c r="G19" s="84" t="s">
        <v>248</v>
      </c>
      <c r="H19" s="88"/>
      <c r="I19" s="27">
        <f t="shared" si="1"/>
        <v>11</v>
      </c>
      <c r="J19" s="6"/>
      <c r="K19" s="6"/>
      <c r="L19" s="6"/>
      <c r="M19" s="6"/>
      <c r="N19" s="6"/>
    </row>
    <row r="20" spans="1:14" ht="15" outlineLevel="1" x14ac:dyDescent="0.2">
      <c r="A20" s="81" t="str">
        <f t="shared" si="0"/>
        <v/>
      </c>
      <c r="B20" s="40"/>
      <c r="C20" s="82"/>
      <c r="D20" s="40"/>
      <c r="E20" s="40"/>
      <c r="F20" s="118"/>
      <c r="G20" s="84"/>
      <c r="H20" s="88"/>
      <c r="I20" s="27">
        <f t="shared" si="1"/>
        <v>11</v>
      </c>
      <c r="J20" s="6"/>
      <c r="K20" s="6"/>
      <c r="L20" s="6"/>
      <c r="M20" s="6"/>
      <c r="N20" s="6"/>
    </row>
    <row r="21" spans="1:14" ht="16" outlineLevel="1" x14ac:dyDescent="0.2">
      <c r="A21" s="120" t="s">
        <v>253</v>
      </c>
      <c r="B21" s="114"/>
      <c r="C21" s="114"/>
      <c r="D21" s="114"/>
      <c r="E21" s="114"/>
      <c r="F21" s="115"/>
      <c r="G21" s="114"/>
      <c r="H21" s="116"/>
      <c r="I21" s="27">
        <f t="shared" si="1"/>
        <v>11</v>
      </c>
      <c r="J21" s="6"/>
      <c r="K21" s="6"/>
      <c r="L21" s="6"/>
      <c r="M21" s="6"/>
      <c r="N21" s="6"/>
    </row>
    <row r="22" spans="1:14" ht="52" outlineLevel="1" x14ac:dyDescent="0.2">
      <c r="A22" s="81" t="str">
        <f>IF(ISBLANK(B22),"",_xlfn.CONCAT("5.",I22))</f>
        <v>5.12</v>
      </c>
      <c r="B22" s="82" t="s">
        <v>254</v>
      </c>
      <c r="C22" s="81"/>
      <c r="D22" s="24"/>
      <c r="E22" s="119"/>
      <c r="F22" s="84" t="s">
        <v>237</v>
      </c>
      <c r="G22" s="84" t="s">
        <v>238</v>
      </c>
      <c r="H22" s="88"/>
      <c r="I22" s="27">
        <f t="shared" si="1"/>
        <v>12</v>
      </c>
      <c r="J22" s="6"/>
      <c r="K22" s="6"/>
      <c r="L22" s="6"/>
      <c r="M22" s="6"/>
      <c r="N22" s="6"/>
    </row>
    <row r="23" spans="1:14" ht="39" outlineLevel="1" x14ac:dyDescent="0.2">
      <c r="A23" s="81" t="str">
        <f>IF(ISBLANK(B23),"",_xlfn.CONCAT("5.",I23))</f>
        <v>5.13</v>
      </c>
      <c r="B23" s="82" t="s">
        <v>255</v>
      </c>
      <c r="C23" s="26" t="s">
        <v>256</v>
      </c>
      <c r="D23" s="40"/>
      <c r="E23" s="84" t="s">
        <v>257</v>
      </c>
      <c r="F23" s="118"/>
      <c r="G23" s="84" t="s">
        <v>78</v>
      </c>
      <c r="H23" s="88"/>
      <c r="I23" s="27">
        <f t="shared" si="1"/>
        <v>13</v>
      </c>
      <c r="J23" s="6"/>
      <c r="K23" s="6"/>
      <c r="L23" s="6"/>
      <c r="M23" s="6"/>
      <c r="N23" s="6"/>
    </row>
    <row r="24" spans="1:14" ht="15" outlineLevel="1" x14ac:dyDescent="0.2">
      <c r="A24" s="81" t="str">
        <f>IF(ISBLANK(B24),"",_xlfn.CONCAT("5.",I24))</f>
        <v/>
      </c>
      <c r="B24" s="40"/>
      <c r="C24" s="82"/>
      <c r="D24" s="40"/>
      <c r="E24" s="118"/>
      <c r="F24" s="118"/>
      <c r="G24" s="84"/>
      <c r="H24" s="88"/>
      <c r="I24" s="27">
        <f t="shared" si="1"/>
        <v>13</v>
      </c>
      <c r="J24" s="6"/>
      <c r="K24" s="6"/>
      <c r="L24" s="6"/>
      <c r="M24" s="6"/>
      <c r="N24" s="6"/>
    </row>
    <row r="25" spans="1:14" ht="16" outlineLevel="1" x14ac:dyDescent="0.2">
      <c r="A25" s="121" t="s">
        <v>258</v>
      </c>
      <c r="B25" s="114"/>
      <c r="C25" s="114"/>
      <c r="D25" s="114"/>
      <c r="E25" s="122"/>
      <c r="F25" s="115"/>
      <c r="G25" s="115"/>
      <c r="H25" s="115"/>
      <c r="I25" s="27">
        <f t="shared" si="1"/>
        <v>13</v>
      </c>
      <c r="J25" s="6"/>
      <c r="K25" s="6"/>
      <c r="L25" s="6"/>
      <c r="M25" s="6"/>
      <c r="N25" s="6"/>
    </row>
    <row r="26" spans="1:14" ht="15" outlineLevel="1" x14ac:dyDescent="0.2">
      <c r="A26" s="123"/>
      <c r="B26" s="123" t="s">
        <v>259</v>
      </c>
      <c r="C26" s="114"/>
      <c r="D26" s="114"/>
      <c r="E26" s="122"/>
      <c r="F26" s="115"/>
      <c r="G26" s="115"/>
      <c r="H26" s="115"/>
      <c r="I26" s="27"/>
      <c r="J26" s="6"/>
      <c r="K26" s="6"/>
      <c r="L26" s="6"/>
      <c r="M26" s="6"/>
      <c r="N26" s="6"/>
    </row>
    <row r="27" spans="1:14" ht="26" outlineLevel="1" x14ac:dyDescent="0.2">
      <c r="A27" s="81" t="str">
        <f>IF(ISBLANK(B27),"",_xlfn.CONCAT("5.",I27))</f>
        <v>5.14</v>
      </c>
      <c r="B27" s="82" t="s">
        <v>260</v>
      </c>
      <c r="C27" s="26" t="s">
        <v>261</v>
      </c>
      <c r="D27" s="24"/>
      <c r="E27" s="84" t="s">
        <v>262</v>
      </c>
      <c r="F27" s="118"/>
      <c r="G27" s="84"/>
      <c r="H27" s="88"/>
      <c r="I27" s="27">
        <f>IF(ISBLANK(B27),I25,I25+1)</f>
        <v>14</v>
      </c>
      <c r="J27" s="6"/>
      <c r="K27" s="6"/>
      <c r="L27" s="6"/>
      <c r="M27" s="6"/>
      <c r="N27" s="6"/>
    </row>
    <row r="28" spans="1:14" ht="26" outlineLevel="1" x14ac:dyDescent="0.2">
      <c r="A28" s="81" t="str">
        <f>IF(ISBLANK(B28),"",_xlfn.CONCAT("5.",I28))</f>
        <v>5.15</v>
      </c>
      <c r="B28" s="82" t="s">
        <v>263</v>
      </c>
      <c r="C28" s="26" t="s">
        <v>261</v>
      </c>
      <c r="D28" s="118"/>
      <c r="E28" s="84" t="s">
        <v>262</v>
      </c>
      <c r="F28" s="118"/>
      <c r="G28" s="84"/>
      <c r="H28" s="88"/>
      <c r="I28" s="27">
        <f>IF(ISBLANK(B28),I27,I27+1)</f>
        <v>15</v>
      </c>
      <c r="J28" s="6"/>
      <c r="K28" s="6"/>
      <c r="L28" s="6"/>
      <c r="M28" s="6"/>
      <c r="N28" s="6"/>
    </row>
    <row r="29" spans="1:14" ht="15" outlineLevel="1" x14ac:dyDescent="0.2">
      <c r="A29" s="81"/>
      <c r="B29" s="82"/>
      <c r="C29" s="26"/>
      <c r="D29" s="118"/>
      <c r="E29" s="84"/>
      <c r="F29" s="118"/>
      <c r="G29" s="84"/>
      <c r="H29" s="88"/>
      <c r="I29" s="27">
        <f>IF(ISBLANK(B29),I28,I28+1)</f>
        <v>15</v>
      </c>
      <c r="J29" s="6"/>
      <c r="K29" s="6"/>
      <c r="L29" s="6"/>
      <c r="M29" s="6"/>
      <c r="N29" s="6"/>
    </row>
    <row r="30" spans="1:14" ht="15" outlineLevel="1" x14ac:dyDescent="0.2">
      <c r="A30" s="81" t="str">
        <f>IF(ISBLANK(B30),"",_xlfn.CONCAT("5.",I30))</f>
        <v/>
      </c>
      <c r="B30" s="82"/>
      <c r="C30" s="82"/>
      <c r="D30" s="82"/>
      <c r="E30" s="82"/>
      <c r="F30" s="84"/>
      <c r="G30" s="82"/>
      <c r="H30" s="88"/>
      <c r="I30" s="27">
        <f>IF(ISBLANK(B30),I29,I29+1)</f>
        <v>15</v>
      </c>
      <c r="J30" s="6"/>
      <c r="K30" s="6"/>
      <c r="L30" s="6"/>
      <c r="M30" s="6"/>
      <c r="N30" s="6"/>
    </row>
    <row r="31" spans="1:14" ht="15" outlineLevel="1" x14ac:dyDescent="0.2">
      <c r="A31" s="124" t="s">
        <v>264</v>
      </c>
      <c r="B31" s="86"/>
      <c r="C31" s="86"/>
      <c r="D31" s="86"/>
      <c r="E31" s="86"/>
      <c r="F31" s="86"/>
      <c r="G31" s="125"/>
      <c r="H31" s="86"/>
      <c r="I31" s="27"/>
      <c r="J31" s="6"/>
      <c r="K31" s="6"/>
      <c r="L31" s="6"/>
      <c r="M31" s="6"/>
      <c r="N31" s="6"/>
    </row>
    <row r="32" spans="1:14" ht="15" outlineLevel="1" x14ac:dyDescent="0.2">
      <c r="A32" s="81" t="str">
        <f>IF(ISBLANK(B32),"",_xlfn.CONCAT("5.",I32))</f>
        <v>5.16</v>
      </c>
      <c r="B32" s="87" t="str">
        <f>IF(D32=0,"","Kleur van de zichtbare delen van de bevestigingsconstructie")</f>
        <v>Kleur van de zichtbare delen van de bevestigingsconstructie</v>
      </c>
      <c r="C32" s="82"/>
      <c r="D32" s="29" t="s">
        <v>34</v>
      </c>
      <c r="E32" s="84" t="s">
        <v>265</v>
      </c>
      <c r="F32" s="84"/>
      <c r="G32" s="82"/>
      <c r="H32" s="81"/>
      <c r="I32" s="27">
        <f>IF(ISBLANK(B32),I30,I30+1)</f>
        <v>16</v>
      </c>
      <c r="J32" s="6"/>
      <c r="K32" s="6"/>
      <c r="L32" s="6"/>
      <c r="M32" s="6"/>
      <c r="N32" s="6"/>
    </row>
    <row r="33" spans="1:14" ht="26" outlineLevel="1" x14ac:dyDescent="0.2">
      <c r="A33" s="81" t="str">
        <f>IF(ISBLANK(B33),"",_xlfn.CONCAT("5.",I33))</f>
        <v>5.17</v>
      </c>
      <c r="B33" s="87" t="str">
        <f>IF(D33=0,"","De verbindingen tussen de onderdelen moeten diefstal bemoeilijken. ")</f>
        <v xml:space="preserve">De verbindingen tussen de onderdelen moeten diefstal bemoeilijken. </v>
      </c>
      <c r="C33" s="82"/>
      <c r="D33" s="29" t="s">
        <v>34</v>
      </c>
      <c r="E33" s="84" t="s">
        <v>266</v>
      </c>
      <c r="F33" s="84"/>
      <c r="G33" s="82"/>
      <c r="H33" s="81"/>
      <c r="I33" s="27">
        <f>IF(ISBLANK(B33),I32,I32+1)</f>
        <v>17</v>
      </c>
      <c r="J33" s="6"/>
      <c r="K33" s="6"/>
      <c r="L33" s="6"/>
      <c r="M33" s="6"/>
      <c r="N33" s="6"/>
    </row>
    <row r="34" spans="1:14" ht="15" outlineLevel="1" x14ac:dyDescent="0.2">
      <c r="A34" s="81" t="str">
        <f>IF(ISBLANK(B34),"",_xlfn.CONCAT("5.",I34))</f>
        <v/>
      </c>
      <c r="B34" s="82"/>
      <c r="C34" s="82"/>
      <c r="D34" s="82"/>
      <c r="E34" s="82"/>
      <c r="F34" s="84"/>
      <c r="G34" s="82"/>
      <c r="H34" s="81"/>
      <c r="I34" s="27">
        <f>IF(ISBLANK(B34),I33,I33+1)</f>
        <v>17</v>
      </c>
      <c r="J34" s="6"/>
      <c r="K34" s="6"/>
      <c r="L34" s="6"/>
      <c r="M34" s="6"/>
      <c r="N34" s="6"/>
    </row>
    <row r="35" spans="1:14" ht="15" outlineLevel="1" x14ac:dyDescent="0.2">
      <c r="A35" s="81" t="str">
        <f>IF(ISBLANK(B35),"",_xlfn.CONCAT("5.",I35))</f>
        <v/>
      </c>
      <c r="B35" s="82"/>
      <c r="C35" s="82"/>
      <c r="D35" s="82"/>
      <c r="E35" s="82"/>
      <c r="F35" s="84"/>
      <c r="G35" s="82"/>
      <c r="H35" s="84"/>
      <c r="I35" s="27">
        <f>IF(ISBLANK(B35),I34,I34+1)</f>
        <v>17</v>
      </c>
      <c r="J35" s="6"/>
      <c r="K35" s="6"/>
      <c r="L35" s="6"/>
      <c r="M35" s="6"/>
      <c r="N35" s="6"/>
    </row>
    <row r="36" spans="1:14" ht="15" outlineLevel="1" x14ac:dyDescent="0.2">
      <c r="A36" s="81" t="str">
        <f>IF(ISBLANK(B36),"",_xlfn.CONCAT("5.",I36))</f>
        <v/>
      </c>
      <c r="B36" s="82"/>
      <c r="C36" s="82"/>
      <c r="D36" s="82"/>
      <c r="E36" s="82"/>
      <c r="F36" s="84"/>
      <c r="G36" s="82"/>
      <c r="H36" s="88"/>
      <c r="I36" s="27">
        <f>IF(ISBLANK(B36),I35,I35+1)</f>
        <v>17</v>
      </c>
      <c r="J36" s="6"/>
      <c r="K36" s="6"/>
      <c r="L36" s="6"/>
      <c r="M36" s="6"/>
      <c r="N36" s="6"/>
    </row>
    <row r="37" spans="1:14" ht="15" x14ac:dyDescent="0.2">
      <c r="A37" s="6"/>
      <c r="B37" s="3"/>
      <c r="C37" s="3"/>
      <c r="D37" s="3"/>
      <c r="E37" s="3"/>
      <c r="F37" s="3"/>
      <c r="G37" s="51"/>
      <c r="H37" s="54"/>
      <c r="I37" s="6"/>
      <c r="J37" s="6"/>
      <c r="K37" s="6"/>
      <c r="L37" s="6"/>
      <c r="M37" s="6"/>
      <c r="N37" s="6"/>
    </row>
    <row r="38" spans="1:14" ht="11" customHeight="1" x14ac:dyDescent="0.2">
      <c r="A38" s="6"/>
      <c r="B38" s="3"/>
      <c r="C38" s="3"/>
      <c r="D38" s="3"/>
      <c r="E38" s="3"/>
      <c r="F38" s="3"/>
      <c r="G38" s="51"/>
      <c r="H38" s="54"/>
      <c r="I38" s="6"/>
      <c r="J38" s="6"/>
      <c r="K38" s="6"/>
      <c r="L38" s="6"/>
      <c r="M38" s="6"/>
      <c r="N38" s="6"/>
    </row>
    <row r="39" spans="1:14" ht="15" x14ac:dyDescent="0.2">
      <c r="A39" s="6"/>
      <c r="B39" s="3"/>
      <c r="C39" s="3"/>
      <c r="D39" s="3"/>
      <c r="E39" s="3"/>
      <c r="F39" s="3"/>
      <c r="G39" s="51"/>
      <c r="H39" s="54"/>
      <c r="I39" s="6"/>
      <c r="J39" s="6"/>
      <c r="K39" s="6"/>
      <c r="L39" s="6"/>
      <c r="M39" s="6"/>
      <c r="N39" s="6"/>
    </row>
    <row r="40" spans="1:14" ht="11" customHeight="1" x14ac:dyDescent="0.2">
      <c r="A40" s="6"/>
      <c r="B40" s="3"/>
      <c r="C40" s="3"/>
      <c r="D40" s="3"/>
      <c r="E40" s="3"/>
      <c r="F40" s="3"/>
      <c r="G40" s="51"/>
      <c r="H40" s="54"/>
      <c r="I40" s="6"/>
      <c r="J40" s="6"/>
      <c r="K40" s="6"/>
      <c r="L40" s="6"/>
      <c r="M40" s="6"/>
      <c r="N40" s="6"/>
    </row>
    <row r="41" spans="1:14" ht="11" customHeight="1" x14ac:dyDescent="0.2">
      <c r="A41" s="6"/>
      <c r="B41" s="3"/>
      <c r="C41" s="3"/>
      <c r="D41" s="3"/>
      <c r="E41" s="3"/>
      <c r="F41" s="3"/>
      <c r="G41" s="51"/>
      <c r="H41" s="54"/>
      <c r="I41" s="6"/>
      <c r="J41" s="6"/>
      <c r="K41" s="6"/>
      <c r="L41" s="6"/>
      <c r="M41" s="6"/>
      <c r="N41" s="6"/>
    </row>
    <row r="42" spans="1:14" ht="11" customHeight="1" x14ac:dyDescent="0.2">
      <c r="A42" s="6"/>
      <c r="B42" s="3"/>
      <c r="C42" s="3"/>
      <c r="D42" s="3"/>
      <c r="E42" s="3"/>
      <c r="F42" s="3"/>
      <c r="G42" s="51"/>
      <c r="H42" s="54"/>
      <c r="I42" s="6"/>
      <c r="J42" s="6"/>
      <c r="K42" s="6"/>
      <c r="L42" s="6"/>
      <c r="M42" s="6"/>
      <c r="N42" s="6"/>
    </row>
    <row r="43" spans="1:14" ht="15" x14ac:dyDescent="0.2">
      <c r="A43" s="6"/>
      <c r="B43" s="3"/>
      <c r="C43" s="3"/>
      <c r="D43" s="3"/>
      <c r="E43" s="3"/>
      <c r="F43" s="3"/>
      <c r="G43" s="51"/>
      <c r="H43" s="54"/>
      <c r="I43" s="6"/>
      <c r="J43" s="6"/>
      <c r="K43" s="6"/>
      <c r="L43" s="6"/>
      <c r="M43" s="6"/>
      <c r="N43" s="6"/>
    </row>
    <row r="44" spans="1:14" ht="15" x14ac:dyDescent="0.2">
      <c r="A44" s="6"/>
      <c r="B44" s="3"/>
      <c r="C44" s="3"/>
      <c r="D44" s="3"/>
      <c r="E44" s="3"/>
      <c r="F44" s="3"/>
      <c r="G44" s="51"/>
      <c r="H44" s="54"/>
      <c r="I44" s="6"/>
      <c r="J44" s="6"/>
      <c r="K44" s="6"/>
      <c r="L44" s="6"/>
      <c r="M44" s="6"/>
      <c r="N44" s="6"/>
    </row>
    <row r="45" spans="1:14" ht="15" x14ac:dyDescent="0.2">
      <c r="A45" s="6"/>
      <c r="B45" s="3"/>
      <c r="C45" s="3"/>
      <c r="D45" s="3"/>
      <c r="E45" s="3"/>
      <c r="F45" s="3"/>
      <c r="G45" s="51"/>
      <c r="H45" s="54"/>
      <c r="I45" s="6"/>
      <c r="J45" s="6"/>
      <c r="K45" s="6"/>
      <c r="L45" s="6"/>
      <c r="M45" s="6"/>
      <c r="N45" s="6"/>
    </row>
    <row r="46" spans="1:14" ht="15" x14ac:dyDescent="0.2">
      <c r="A46" s="6"/>
      <c r="B46" s="3"/>
      <c r="C46" s="3"/>
      <c r="D46" s="3"/>
      <c r="E46" s="3"/>
      <c r="F46" s="3"/>
      <c r="G46" s="51"/>
      <c r="H46" s="54"/>
      <c r="I46" s="6"/>
      <c r="J46" s="6"/>
      <c r="K46" s="6"/>
      <c r="L46" s="6"/>
      <c r="M46" s="6"/>
      <c r="N46" s="6"/>
    </row>
    <row r="47" spans="1:14" ht="15" x14ac:dyDescent="0.2">
      <c r="A47" s="6"/>
      <c r="B47" s="3"/>
      <c r="C47" s="3"/>
      <c r="D47" s="3"/>
      <c r="E47" s="3"/>
      <c r="F47" s="3"/>
      <c r="G47" s="51"/>
      <c r="H47" s="54"/>
      <c r="I47" s="6"/>
      <c r="J47" s="6"/>
      <c r="K47" s="6"/>
      <c r="L47" s="6"/>
      <c r="M47" s="6"/>
      <c r="N47" s="6"/>
    </row>
    <row r="48" spans="1:14" ht="15" x14ac:dyDescent="0.2">
      <c r="A48" s="6"/>
      <c r="B48" s="3"/>
      <c r="C48" s="3"/>
      <c r="D48" s="3"/>
      <c r="E48" s="3"/>
      <c r="F48" s="3"/>
      <c r="G48" s="51"/>
      <c r="H48" s="54"/>
      <c r="I48" s="6"/>
      <c r="J48" s="6"/>
      <c r="K48" s="6"/>
      <c r="L48" s="6"/>
      <c r="M48" s="6"/>
      <c r="N48" s="6"/>
    </row>
    <row r="49" spans="1:14" ht="15" x14ac:dyDescent="0.2">
      <c r="A49" s="6"/>
      <c r="B49" s="3"/>
      <c r="C49" s="3"/>
      <c r="D49" s="3"/>
      <c r="E49" s="3"/>
      <c r="F49" s="3"/>
      <c r="G49" s="51"/>
      <c r="H49" s="54"/>
      <c r="I49" s="6"/>
      <c r="J49" s="6"/>
      <c r="K49" s="6"/>
      <c r="L49" s="6"/>
      <c r="M49" s="6"/>
      <c r="N49" s="6"/>
    </row>
  </sheetData>
  <printOptions horizontalCentered="1" verticalCentered="1"/>
  <pageMargins left="0.23622047244094499" right="0.23622047244094499" top="0.74803149606299202" bottom="0.74803149606299202" header="0.31496062992126" footer="0.31496062992126"/>
  <pageSetup paperSize="0" fitToWidth="0" fitToHeight="0" orientation="landscape" horizontalDpi="0" verticalDpi="0" copies="0"/>
  <headerFooter>
    <oddFooter>&amp;L
&amp;1#&amp;10 Intern gebruik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workbookViewId="0"/>
  </sheetViews>
  <sheetFormatPr baseColWidth="10" defaultColWidth="11.5" defaultRowHeight="14.5" x14ac:dyDescent="0.2"/>
  <cols>
    <col min="1" max="1" width="7.33203125" style="7" customWidth="1"/>
    <col min="2" max="2" width="75.1640625" style="48" customWidth="1"/>
    <col min="3" max="3" width="20.83203125" style="48" customWidth="1"/>
    <col min="4" max="4" width="8.33203125" style="48" customWidth="1"/>
    <col min="5" max="6" width="43.83203125" style="48" customWidth="1"/>
    <col min="7" max="7" width="31.83203125" style="49" customWidth="1"/>
    <col min="8" max="8" width="44.1640625" style="50" customWidth="1"/>
    <col min="9" max="9" width="3.83203125" style="180" customWidth="1"/>
    <col min="10" max="10" width="11.5" style="7" customWidth="1"/>
    <col min="11" max="16384" width="11.5" style="7"/>
  </cols>
  <sheetData>
    <row r="1" spans="1:15" ht="21.75" customHeight="1" x14ac:dyDescent="0.15">
      <c r="A1" s="51" t="s">
        <v>267</v>
      </c>
      <c r="B1" s="3"/>
      <c r="C1" s="3"/>
      <c r="D1" s="3"/>
      <c r="E1" s="4" t="s">
        <v>2</v>
      </c>
      <c r="F1" s="53"/>
      <c r="G1" s="51"/>
      <c r="H1" s="54"/>
      <c r="I1" s="126"/>
      <c r="J1" s="6"/>
      <c r="K1" s="6"/>
      <c r="L1" s="6"/>
      <c r="M1" s="6"/>
      <c r="N1" s="6"/>
      <c r="O1" s="6"/>
    </row>
    <row r="2" spans="1:15" ht="14" customHeight="1" x14ac:dyDescent="0.2">
      <c r="A2" s="8" t="s">
        <v>3</v>
      </c>
      <c r="B2" s="3"/>
      <c r="C2" s="3"/>
      <c r="D2" s="3"/>
      <c r="E2" s="15" t="s">
        <v>4</v>
      </c>
      <c r="F2" s="55"/>
      <c r="G2" s="51"/>
      <c r="H2" s="54"/>
      <c r="I2" s="126"/>
      <c r="J2" s="6"/>
      <c r="K2" s="6"/>
      <c r="L2" s="6"/>
      <c r="M2" s="6"/>
      <c r="N2" s="6"/>
      <c r="O2" s="6"/>
    </row>
    <row r="3" spans="1:15" ht="14" customHeight="1" x14ac:dyDescent="0.2">
      <c r="A3" s="14" t="str">
        <f>'1__Eisen_-_Algemeen'!A3</f>
        <v>Versie 1.1 - Juli 2024</v>
      </c>
      <c r="B3" s="3"/>
      <c r="C3" s="3"/>
      <c r="D3" s="3"/>
      <c r="E3" s="15" t="s">
        <v>6</v>
      </c>
      <c r="F3" s="56"/>
      <c r="G3" s="51"/>
      <c r="H3" s="54"/>
      <c r="I3" s="126"/>
      <c r="J3" s="6"/>
      <c r="K3" s="6"/>
      <c r="L3" s="6"/>
      <c r="M3" s="6"/>
      <c r="N3" s="6"/>
      <c r="O3" s="6"/>
    </row>
    <row r="4" spans="1:15" ht="14" customHeight="1" x14ac:dyDescent="0.2">
      <c r="A4" s="14" t="s">
        <v>7</v>
      </c>
      <c r="B4" s="3"/>
      <c r="C4" s="3"/>
      <c r="D4" s="3"/>
      <c r="E4" s="15" t="s">
        <v>8</v>
      </c>
      <c r="F4" s="56"/>
      <c r="G4" s="51"/>
      <c r="H4" s="54"/>
      <c r="I4" s="126"/>
      <c r="J4" s="6"/>
      <c r="K4" s="6"/>
      <c r="L4" s="6"/>
      <c r="M4" s="6"/>
      <c r="N4" s="6"/>
      <c r="O4" s="6"/>
    </row>
    <row r="5" spans="1:15" ht="14" customHeight="1" x14ac:dyDescent="0.2">
      <c r="A5" s="14" t="s">
        <v>9</v>
      </c>
      <c r="B5" s="3"/>
      <c r="C5" s="3"/>
      <c r="D5" s="3"/>
      <c r="E5" s="15" t="s">
        <v>10</v>
      </c>
      <c r="F5" s="56"/>
      <c r="G5" s="51"/>
      <c r="H5" s="54"/>
      <c r="I5" s="126"/>
      <c r="J5" s="6"/>
      <c r="K5" s="6"/>
      <c r="L5" s="6"/>
      <c r="M5" s="6"/>
      <c r="N5" s="6"/>
      <c r="O5" s="6"/>
    </row>
    <row r="6" spans="1:15" ht="20.25" customHeight="1" x14ac:dyDescent="0.2">
      <c r="A6" s="77" t="s">
        <v>11</v>
      </c>
      <c r="B6" s="127" t="s">
        <v>87</v>
      </c>
      <c r="C6" s="127" t="s">
        <v>13</v>
      </c>
      <c r="D6" s="17" t="s">
        <v>14</v>
      </c>
      <c r="E6" s="16" t="s">
        <v>89</v>
      </c>
      <c r="F6" s="16" t="s">
        <v>90</v>
      </c>
      <c r="G6" s="128" t="s">
        <v>131</v>
      </c>
      <c r="H6" s="127" t="s">
        <v>18</v>
      </c>
      <c r="I6" s="129"/>
      <c r="J6" s="6"/>
      <c r="K6" s="6"/>
      <c r="L6" s="6"/>
      <c r="M6" s="6"/>
      <c r="N6" s="6"/>
    </row>
    <row r="7" spans="1:15" ht="15" x14ac:dyDescent="0.2">
      <c r="A7" s="130" t="s">
        <v>268</v>
      </c>
      <c r="B7" s="114"/>
      <c r="C7" s="114"/>
      <c r="D7" s="114"/>
      <c r="E7" s="115"/>
      <c r="F7" s="115"/>
      <c r="G7" s="114"/>
      <c r="H7" s="115"/>
      <c r="I7" s="131"/>
      <c r="J7" s="6"/>
      <c r="K7" s="6"/>
      <c r="L7" s="6"/>
      <c r="M7" s="6"/>
      <c r="N7" s="6"/>
    </row>
    <row r="8" spans="1:15" ht="41" customHeight="1" x14ac:dyDescent="0.2">
      <c r="A8" s="132" t="str">
        <f>IF(ISBLANK(B8),"",_xlfn.CONCAT("6.",I8))</f>
        <v>6.1</v>
      </c>
      <c r="B8" s="133" t="s">
        <v>269</v>
      </c>
      <c r="C8" s="134"/>
      <c r="D8" s="134"/>
      <c r="E8" s="134"/>
      <c r="F8" s="134"/>
      <c r="G8" s="135" t="s">
        <v>270</v>
      </c>
      <c r="H8" s="135" t="s">
        <v>271</v>
      </c>
      <c r="I8" s="136">
        <v>1</v>
      </c>
      <c r="J8" s="6"/>
      <c r="K8" s="6"/>
      <c r="L8" s="6"/>
      <c r="M8" s="6"/>
      <c r="N8" s="6"/>
    </row>
    <row r="9" spans="1:15" ht="15" x14ac:dyDescent="0.2">
      <c r="A9" s="6"/>
      <c r="B9" s="137" t="s">
        <v>272</v>
      </c>
      <c r="C9" s="138"/>
      <c r="D9" s="138"/>
      <c r="E9" s="138"/>
      <c r="F9" s="138"/>
      <c r="G9" s="138"/>
      <c r="H9" s="138"/>
      <c r="I9" s="139"/>
      <c r="J9" s="3"/>
      <c r="K9" s="6"/>
      <c r="L9" s="6"/>
      <c r="M9" s="6"/>
      <c r="N9" s="6"/>
    </row>
    <row r="10" spans="1:15" ht="15" x14ac:dyDescent="0.2">
      <c r="A10" s="6"/>
      <c r="B10" s="140" t="s">
        <v>273</v>
      </c>
      <c r="C10" s="138"/>
      <c r="D10" s="138"/>
      <c r="E10" s="138"/>
      <c r="F10" s="138"/>
      <c r="G10" s="138"/>
      <c r="H10" s="138"/>
      <c r="I10" s="139"/>
      <c r="J10" s="3"/>
      <c r="K10" s="6"/>
      <c r="L10" s="6"/>
      <c r="M10" s="6"/>
      <c r="N10" s="6"/>
    </row>
    <row r="11" spans="1:15" ht="15" x14ac:dyDescent="0.2">
      <c r="A11" s="6"/>
      <c r="B11" s="140" t="s">
        <v>274</v>
      </c>
      <c r="C11" s="138"/>
      <c r="D11" s="138"/>
      <c r="E11" s="138"/>
      <c r="F11" s="138"/>
      <c r="G11" s="138"/>
      <c r="H11" s="138"/>
      <c r="I11" s="139"/>
      <c r="J11" s="3"/>
      <c r="K11" s="6"/>
      <c r="L11" s="6"/>
      <c r="M11" s="6"/>
      <c r="N11" s="6"/>
    </row>
    <row r="12" spans="1:15" ht="15" x14ac:dyDescent="0.2">
      <c r="A12" s="6"/>
      <c r="B12" s="140" t="s">
        <v>275</v>
      </c>
      <c r="C12" s="138"/>
      <c r="D12" s="138"/>
      <c r="E12" s="138"/>
      <c r="F12" s="138"/>
      <c r="G12" s="138"/>
      <c r="H12" s="138"/>
      <c r="I12" s="139"/>
      <c r="J12" s="3"/>
      <c r="K12" s="6"/>
      <c r="L12" s="6"/>
      <c r="M12" s="6"/>
      <c r="N12" s="6"/>
    </row>
    <row r="13" spans="1:15" ht="15" x14ac:dyDescent="0.2">
      <c r="A13" s="141"/>
      <c r="B13" s="140" t="s">
        <v>276</v>
      </c>
      <c r="C13" s="138"/>
      <c r="D13" s="138"/>
      <c r="E13" s="138"/>
      <c r="F13" s="138"/>
      <c r="G13" s="138"/>
      <c r="H13" s="138"/>
      <c r="I13" s="139"/>
      <c r="J13" s="3"/>
      <c r="K13" s="6"/>
      <c r="L13" s="6"/>
      <c r="M13" s="6"/>
      <c r="N13" s="6"/>
    </row>
    <row r="14" spans="1:15" ht="15" x14ac:dyDescent="0.2">
      <c r="A14" s="141"/>
      <c r="B14" s="140" t="s">
        <v>277</v>
      </c>
      <c r="C14" s="138"/>
      <c r="D14" s="138"/>
      <c r="E14" s="138"/>
      <c r="F14" s="138"/>
      <c r="G14" s="138"/>
      <c r="H14" s="138"/>
      <c r="I14" s="139"/>
      <c r="J14" s="3"/>
      <c r="K14" s="6"/>
      <c r="L14" s="6"/>
      <c r="M14" s="6"/>
      <c r="N14" s="6"/>
    </row>
    <row r="15" spans="1:15" ht="15" x14ac:dyDescent="0.2">
      <c r="A15" s="141"/>
      <c r="B15" s="140" t="s">
        <v>278</v>
      </c>
      <c r="C15" s="138"/>
      <c r="D15" s="138"/>
      <c r="E15" s="138"/>
      <c r="F15" s="138"/>
      <c r="G15" s="138"/>
      <c r="H15" s="138"/>
      <c r="I15" s="139"/>
      <c r="J15" s="3"/>
      <c r="K15" s="6"/>
      <c r="L15" s="6"/>
      <c r="M15" s="6"/>
      <c r="N15" s="6"/>
    </row>
    <row r="16" spans="1:15" ht="15" x14ac:dyDescent="0.2">
      <c r="A16" s="141"/>
      <c r="B16" s="140" t="s">
        <v>279</v>
      </c>
      <c r="C16" s="138"/>
      <c r="D16" s="138"/>
      <c r="E16" s="138"/>
      <c r="F16" s="138"/>
      <c r="G16" s="138"/>
      <c r="H16" s="138"/>
      <c r="I16" s="139"/>
      <c r="J16" s="3"/>
      <c r="K16" s="6"/>
      <c r="L16" s="6"/>
      <c r="M16" s="6"/>
      <c r="N16" s="6"/>
    </row>
    <row r="17" spans="1:14" ht="15" x14ac:dyDescent="0.2">
      <c r="A17" s="141"/>
      <c r="B17" s="140" t="s">
        <v>280</v>
      </c>
      <c r="C17" s="138"/>
      <c r="D17" s="138"/>
      <c r="E17" s="138"/>
      <c r="F17" s="138"/>
      <c r="G17" s="138"/>
      <c r="H17" s="138"/>
      <c r="I17" s="139"/>
      <c r="J17" s="3"/>
      <c r="K17" s="6"/>
      <c r="L17" s="6"/>
      <c r="M17" s="6"/>
      <c r="N17" s="6"/>
    </row>
    <row r="18" spans="1:14" ht="15" x14ac:dyDescent="0.2">
      <c r="A18" s="141"/>
      <c r="B18" s="140" t="s">
        <v>281</v>
      </c>
      <c r="C18" s="138"/>
      <c r="D18" s="138"/>
      <c r="E18" s="138"/>
      <c r="F18" s="138"/>
      <c r="G18" s="138"/>
      <c r="H18" s="138"/>
      <c r="I18" s="139"/>
      <c r="J18" s="3"/>
      <c r="K18" s="6"/>
      <c r="L18" s="6"/>
      <c r="M18" s="6"/>
      <c r="N18" s="6"/>
    </row>
    <row r="19" spans="1:14" ht="15" x14ac:dyDescent="0.2">
      <c r="A19" s="141"/>
      <c r="B19" s="140" t="s">
        <v>282</v>
      </c>
      <c r="C19" s="138"/>
      <c r="D19" s="138"/>
      <c r="E19" s="138"/>
      <c r="F19" s="138"/>
      <c r="G19" s="138"/>
      <c r="H19" s="138"/>
      <c r="I19" s="139"/>
      <c r="J19" s="3"/>
      <c r="K19" s="6"/>
      <c r="L19" s="6"/>
      <c r="M19" s="6"/>
      <c r="N19" s="6"/>
    </row>
    <row r="20" spans="1:14" ht="15" x14ac:dyDescent="0.2">
      <c r="A20" s="141"/>
      <c r="B20" s="140" t="s">
        <v>283</v>
      </c>
      <c r="C20" s="138"/>
      <c r="D20" s="138"/>
      <c r="E20" s="138"/>
      <c r="F20" s="138"/>
      <c r="G20" s="138"/>
      <c r="H20" s="138"/>
      <c r="I20" s="139"/>
      <c r="J20" s="3"/>
      <c r="K20" s="6"/>
      <c r="L20" s="6"/>
      <c r="M20" s="6"/>
      <c r="N20" s="6"/>
    </row>
    <row r="21" spans="1:14" ht="15" x14ac:dyDescent="0.2">
      <c r="A21" s="141"/>
      <c r="B21" s="140" t="s">
        <v>284</v>
      </c>
      <c r="C21" s="138"/>
      <c r="D21" s="138"/>
      <c r="E21" s="138"/>
      <c r="F21" s="138"/>
      <c r="G21" s="138"/>
      <c r="H21" s="138"/>
      <c r="I21" s="139"/>
      <c r="J21" s="3"/>
      <c r="K21" s="6"/>
      <c r="L21" s="6"/>
      <c r="M21" s="6"/>
      <c r="N21" s="6"/>
    </row>
    <row r="22" spans="1:14" ht="52" x14ac:dyDescent="0.2">
      <c r="A22" s="141"/>
      <c r="B22" s="140" t="s">
        <v>285</v>
      </c>
      <c r="C22" s="138"/>
      <c r="D22" s="138"/>
      <c r="E22" s="142"/>
      <c r="F22" s="142" t="s">
        <v>286</v>
      </c>
      <c r="G22" s="142" t="s">
        <v>287</v>
      </c>
      <c r="H22" s="138"/>
      <c r="I22" s="139"/>
      <c r="J22" s="3"/>
      <c r="K22" s="6"/>
      <c r="L22" s="6"/>
      <c r="M22" s="6"/>
      <c r="N22" s="6"/>
    </row>
    <row r="23" spans="1:14" ht="15" x14ac:dyDescent="0.2">
      <c r="A23" s="141"/>
      <c r="B23" s="143" t="s">
        <v>288</v>
      </c>
      <c r="C23" s="138"/>
      <c r="D23" s="138"/>
      <c r="E23" s="138"/>
      <c r="F23" s="138"/>
      <c r="G23" s="138"/>
      <c r="H23" s="138"/>
      <c r="I23" s="139"/>
      <c r="J23" s="3"/>
      <c r="K23" s="6"/>
      <c r="L23" s="6"/>
      <c r="M23" s="6"/>
      <c r="N23" s="6"/>
    </row>
    <row r="24" spans="1:14" ht="15" x14ac:dyDescent="0.2">
      <c r="A24" s="141"/>
      <c r="B24" s="140" t="s">
        <v>289</v>
      </c>
      <c r="C24" s="138"/>
      <c r="D24" s="138"/>
      <c r="E24" s="138"/>
      <c r="F24" s="138"/>
      <c r="G24" s="138"/>
      <c r="H24" s="138"/>
      <c r="I24" s="139"/>
      <c r="J24" s="3"/>
      <c r="K24" s="6"/>
      <c r="L24" s="6"/>
      <c r="M24" s="6"/>
      <c r="N24" s="6"/>
    </row>
    <row r="25" spans="1:14" ht="15" x14ac:dyDescent="0.2">
      <c r="A25" s="141"/>
      <c r="B25" s="140" t="s">
        <v>290</v>
      </c>
      <c r="C25" s="138"/>
      <c r="D25" s="138"/>
      <c r="E25" s="138"/>
      <c r="F25" s="138"/>
      <c r="G25" s="138"/>
      <c r="H25" s="138"/>
      <c r="I25" s="139"/>
      <c r="J25" s="144"/>
      <c r="K25" s="6"/>
      <c r="L25" s="6"/>
      <c r="M25" s="6"/>
      <c r="N25" s="6"/>
    </row>
    <row r="26" spans="1:14" ht="15" x14ac:dyDescent="0.2">
      <c r="A26" s="141"/>
      <c r="B26" s="140" t="s">
        <v>291</v>
      </c>
      <c r="C26" s="138"/>
      <c r="D26" s="138"/>
      <c r="E26" s="138"/>
      <c r="F26" s="138"/>
      <c r="G26" s="138"/>
      <c r="H26" s="138"/>
      <c r="I26" s="139"/>
      <c r="J26" s="144"/>
      <c r="K26" s="6"/>
      <c r="L26" s="6"/>
      <c r="M26" s="6"/>
      <c r="N26" s="6"/>
    </row>
    <row r="27" spans="1:14" ht="15" x14ac:dyDescent="0.2">
      <c r="A27" s="141"/>
      <c r="B27" s="140" t="s">
        <v>292</v>
      </c>
      <c r="C27" s="138"/>
      <c r="D27" s="138"/>
      <c r="E27" s="138"/>
      <c r="F27" s="138"/>
      <c r="G27" s="138"/>
      <c r="H27" s="138"/>
      <c r="I27" s="139"/>
      <c r="J27" s="144"/>
      <c r="K27" s="6"/>
      <c r="L27" s="6"/>
      <c r="M27" s="6"/>
      <c r="N27" s="6"/>
    </row>
    <row r="28" spans="1:14" ht="15" x14ac:dyDescent="0.2">
      <c r="A28" s="141"/>
      <c r="B28" s="143" t="s">
        <v>293</v>
      </c>
      <c r="C28" s="138"/>
      <c r="D28" s="138"/>
      <c r="E28" s="138"/>
      <c r="F28" s="138"/>
      <c r="G28" s="138"/>
      <c r="H28" s="138"/>
      <c r="I28" s="139"/>
      <c r="J28" s="144"/>
      <c r="K28" s="6"/>
      <c r="L28" s="6"/>
      <c r="M28" s="6"/>
      <c r="N28" s="6"/>
    </row>
    <row r="29" spans="1:14" ht="15" x14ac:dyDescent="0.2">
      <c r="A29" s="141"/>
      <c r="B29" s="140" t="s">
        <v>289</v>
      </c>
      <c r="C29" s="138"/>
      <c r="D29" s="138"/>
      <c r="E29" s="138"/>
      <c r="F29" s="138"/>
      <c r="G29" s="138"/>
      <c r="H29" s="138"/>
      <c r="I29" s="139"/>
      <c r="J29" s="3"/>
      <c r="K29" s="6"/>
      <c r="L29" s="6"/>
      <c r="M29" s="6"/>
      <c r="N29" s="6"/>
    </row>
    <row r="30" spans="1:14" ht="15" x14ac:dyDescent="0.2">
      <c r="A30" s="141"/>
      <c r="B30" s="140" t="s">
        <v>294</v>
      </c>
      <c r="C30" s="138"/>
      <c r="D30" s="138"/>
      <c r="E30" s="138"/>
      <c r="F30" s="138"/>
      <c r="G30" s="138"/>
      <c r="H30" s="138"/>
      <c r="I30" s="139"/>
      <c r="J30" s="144"/>
      <c r="K30" s="6"/>
      <c r="L30" s="6"/>
      <c r="M30" s="6"/>
      <c r="N30" s="6"/>
    </row>
    <row r="31" spans="1:14" ht="30" x14ac:dyDescent="0.2">
      <c r="A31" s="141"/>
      <c r="B31" s="140" t="s">
        <v>295</v>
      </c>
      <c r="C31" s="138"/>
      <c r="D31" s="138"/>
      <c r="E31" s="138"/>
      <c r="F31" s="138"/>
      <c r="G31" s="138"/>
      <c r="H31" s="138"/>
      <c r="I31" s="139"/>
      <c r="J31" s="144"/>
      <c r="K31" s="6"/>
      <c r="L31" s="6"/>
      <c r="M31" s="6"/>
      <c r="N31" s="6"/>
    </row>
    <row r="32" spans="1:14" ht="15" x14ac:dyDescent="0.2">
      <c r="A32" s="141"/>
      <c r="B32" s="143" t="s">
        <v>296</v>
      </c>
      <c r="C32" s="138"/>
      <c r="D32" s="138"/>
      <c r="E32" s="138"/>
      <c r="F32" s="138"/>
      <c r="G32" s="138"/>
      <c r="H32" s="138"/>
      <c r="I32" s="139"/>
      <c r="J32" s="144"/>
      <c r="K32" s="6"/>
      <c r="L32" s="6"/>
      <c r="M32" s="6"/>
      <c r="N32" s="6"/>
    </row>
    <row r="33" spans="1:14" ht="15" x14ac:dyDescent="0.2">
      <c r="A33" s="141"/>
      <c r="B33" s="140" t="s">
        <v>297</v>
      </c>
      <c r="C33" s="138"/>
      <c r="D33" s="138"/>
      <c r="E33" s="138"/>
      <c r="F33" s="138"/>
      <c r="G33" s="138"/>
      <c r="H33" s="138"/>
      <c r="I33" s="139"/>
      <c r="J33" s="144"/>
      <c r="K33" s="6"/>
      <c r="L33" s="6"/>
      <c r="M33" s="6"/>
      <c r="N33" s="6"/>
    </row>
    <row r="34" spans="1:14" ht="15" x14ac:dyDescent="0.2">
      <c r="A34" s="141"/>
      <c r="B34" s="140" t="s">
        <v>298</v>
      </c>
      <c r="C34" s="138"/>
      <c r="D34" s="138"/>
      <c r="E34" s="138"/>
      <c r="F34" s="138"/>
      <c r="G34" s="138"/>
      <c r="H34" s="138"/>
      <c r="I34" s="139"/>
      <c r="J34" s="144"/>
      <c r="K34" s="6"/>
      <c r="L34" s="6"/>
      <c r="M34" s="6"/>
      <c r="N34" s="6"/>
    </row>
    <row r="35" spans="1:14" ht="15" x14ac:dyDescent="0.2">
      <c r="A35" s="141"/>
      <c r="B35" s="140" t="s">
        <v>299</v>
      </c>
      <c r="C35" s="138"/>
      <c r="D35" s="138"/>
      <c r="E35" s="138"/>
      <c r="F35" s="138"/>
      <c r="G35" s="138"/>
      <c r="H35" s="138"/>
      <c r="I35" s="139"/>
      <c r="J35" s="144"/>
      <c r="K35" s="6"/>
      <c r="L35" s="6"/>
      <c r="M35" s="6"/>
      <c r="N35" s="6"/>
    </row>
    <row r="36" spans="1:14" ht="15" x14ac:dyDescent="0.2">
      <c r="A36" s="141"/>
      <c r="B36" s="140" t="s">
        <v>300</v>
      </c>
      <c r="C36" s="138"/>
      <c r="D36" s="138"/>
      <c r="E36" s="138"/>
      <c r="F36" s="138"/>
      <c r="G36" s="138"/>
      <c r="H36" s="138"/>
      <c r="I36" s="139"/>
      <c r="J36" s="144"/>
      <c r="K36" s="6"/>
      <c r="L36" s="6"/>
      <c r="M36" s="6"/>
      <c r="N36" s="6"/>
    </row>
    <row r="37" spans="1:14" ht="15" x14ac:dyDescent="0.2">
      <c r="A37" s="141"/>
      <c r="B37" s="140" t="s">
        <v>301</v>
      </c>
      <c r="C37" s="138"/>
      <c r="D37" s="138"/>
      <c r="E37" s="138"/>
      <c r="F37" s="138"/>
      <c r="G37" s="138"/>
      <c r="H37" s="138"/>
      <c r="I37" s="139"/>
      <c r="J37" s="144"/>
      <c r="K37" s="6"/>
      <c r="L37" s="6"/>
      <c r="M37" s="6"/>
      <c r="N37" s="6"/>
    </row>
    <row r="38" spans="1:14" ht="15" x14ac:dyDescent="0.2">
      <c r="A38" s="141"/>
      <c r="B38" s="140" t="s">
        <v>302</v>
      </c>
      <c r="C38" s="138"/>
      <c r="D38" s="138"/>
      <c r="E38" s="138"/>
      <c r="F38" s="138"/>
      <c r="G38" s="138"/>
      <c r="H38" s="138"/>
      <c r="I38" s="139"/>
      <c r="J38" s="144"/>
      <c r="K38" s="6"/>
      <c r="L38" s="6"/>
      <c r="M38" s="6"/>
      <c r="N38" s="6"/>
    </row>
    <row r="39" spans="1:14" ht="15" x14ac:dyDescent="0.2">
      <c r="A39" s="141"/>
      <c r="B39" s="143" t="s">
        <v>303</v>
      </c>
      <c r="C39" s="138"/>
      <c r="D39" s="138"/>
      <c r="E39" s="138"/>
      <c r="F39" s="138"/>
      <c r="G39" s="138"/>
      <c r="H39" s="138"/>
      <c r="I39" s="139"/>
      <c r="J39" s="3"/>
      <c r="K39" s="6"/>
      <c r="L39" s="6"/>
      <c r="M39" s="6"/>
      <c r="N39" s="6"/>
    </row>
    <row r="40" spans="1:14" ht="15" x14ac:dyDescent="0.2">
      <c r="A40" s="141"/>
      <c r="B40" s="143" t="s">
        <v>304</v>
      </c>
      <c r="C40" s="138"/>
      <c r="D40" s="138"/>
      <c r="E40" s="138"/>
      <c r="F40" s="138"/>
      <c r="G40" s="138"/>
      <c r="H40" s="138"/>
      <c r="I40" s="139"/>
      <c r="J40" s="3"/>
      <c r="K40" s="6"/>
      <c r="L40" s="6"/>
      <c r="M40" s="6"/>
      <c r="N40" s="6"/>
    </row>
    <row r="41" spans="1:14" ht="15" x14ac:dyDescent="0.2">
      <c r="A41" s="145"/>
      <c r="B41" s="146" t="s">
        <v>305</v>
      </c>
      <c r="C41" s="147"/>
      <c r="D41" s="147"/>
      <c r="E41" s="147"/>
      <c r="F41" s="147"/>
      <c r="G41" s="147"/>
      <c r="H41" s="147"/>
      <c r="I41" s="148"/>
      <c r="J41" s="3"/>
      <c r="K41" s="6"/>
      <c r="L41" s="6"/>
      <c r="M41" s="6"/>
      <c r="N41" s="6"/>
    </row>
    <row r="42" spans="1:14" ht="15" x14ac:dyDescent="0.2">
      <c r="A42" s="149"/>
      <c r="B42" s="85"/>
      <c r="C42" s="85"/>
      <c r="D42" s="85"/>
      <c r="E42" s="150"/>
      <c r="F42" s="150"/>
      <c r="G42" s="151"/>
      <c r="H42" s="152"/>
      <c r="I42" s="153">
        <f>IF(ISBLANK(B42),I8,I8+1)</f>
        <v>1</v>
      </c>
      <c r="J42" s="3"/>
      <c r="K42" s="6"/>
      <c r="L42" s="6"/>
      <c r="M42" s="6"/>
      <c r="N42" s="6"/>
    </row>
    <row r="43" spans="1:14" ht="15" x14ac:dyDescent="0.2">
      <c r="A43" s="149"/>
      <c r="B43" s="85"/>
      <c r="C43" s="85"/>
      <c r="D43" s="85"/>
      <c r="E43" s="150"/>
      <c r="F43" s="150"/>
      <c r="G43" s="151"/>
      <c r="H43" s="152"/>
      <c r="I43" s="153">
        <f t="shared" ref="I43:I55" si="0">IF(ISBLANK(B43),I42,I42+1)</f>
        <v>1</v>
      </c>
      <c r="J43" s="3"/>
      <c r="K43" s="6"/>
      <c r="L43" s="6"/>
      <c r="M43" s="6"/>
      <c r="N43" s="6"/>
    </row>
    <row r="44" spans="1:14" ht="15" x14ac:dyDescent="0.15">
      <c r="A44" s="149"/>
      <c r="B44" s="154"/>
      <c r="C44" s="154"/>
      <c r="D44" s="154"/>
      <c r="E44" s="155"/>
      <c r="F44" s="155"/>
      <c r="G44" s="154"/>
      <c r="H44" s="155"/>
      <c r="I44" s="153">
        <f t="shared" si="0"/>
        <v>1</v>
      </c>
      <c r="J44" s="6"/>
      <c r="K44" s="6"/>
      <c r="L44" s="6"/>
      <c r="M44" s="6"/>
      <c r="N44" s="6"/>
    </row>
    <row r="45" spans="1:14" ht="15" x14ac:dyDescent="0.2">
      <c r="A45" s="156" t="s">
        <v>306</v>
      </c>
      <c r="B45" s="87"/>
      <c r="C45" s="87"/>
      <c r="D45" s="87"/>
      <c r="E45" s="97"/>
      <c r="F45" s="97"/>
      <c r="G45" s="87"/>
      <c r="H45" s="97"/>
      <c r="I45" s="153">
        <f t="shared" si="0"/>
        <v>1</v>
      </c>
      <c r="J45" s="6"/>
      <c r="K45" s="6"/>
      <c r="L45" s="6"/>
      <c r="M45" s="6"/>
      <c r="N45" s="6"/>
    </row>
    <row r="46" spans="1:14" ht="6" customHeight="1" x14ac:dyDescent="0.2">
      <c r="A46" s="157"/>
      <c r="B46" s="82"/>
      <c r="C46" s="158"/>
      <c r="D46" s="158"/>
      <c r="E46" s="159"/>
      <c r="F46" s="159"/>
      <c r="G46" s="160"/>
      <c r="H46" s="161"/>
      <c r="I46" s="153">
        <f t="shared" si="0"/>
        <v>1</v>
      </c>
      <c r="J46" s="6"/>
      <c r="K46" s="6"/>
      <c r="L46" s="6"/>
      <c r="M46" s="6"/>
      <c r="N46" s="6"/>
    </row>
    <row r="47" spans="1:14" ht="67" customHeight="1" x14ac:dyDescent="0.15">
      <c r="A47" s="162" t="str">
        <f>IF(ISBLANK(B47),"",_xlfn.CONCAT("6.",I47))</f>
        <v>6.2</v>
      </c>
      <c r="B47" s="163" t="str">
        <f>IF(D47=0,"","Opdrachtnemer accepteert de PAC (Provisional Acceptance Certificate) na Scope 12 inspectie, en gaat aan de slag met de lijst met non-conformities.")</f>
        <v>Opdrachtnemer accepteert de PAC (Provisional Acceptance Certificate) na Scope 12 inspectie, en gaat aan de slag met de lijst met non-conformities.</v>
      </c>
      <c r="C47" s="158"/>
      <c r="D47" s="29" t="s">
        <v>34</v>
      </c>
      <c r="E47" s="164"/>
      <c r="F47" s="164" t="s">
        <v>307</v>
      </c>
      <c r="G47" s="164" t="s">
        <v>308</v>
      </c>
      <c r="H47" s="164" t="s">
        <v>309</v>
      </c>
      <c r="I47" s="153">
        <f t="shared" si="0"/>
        <v>2</v>
      </c>
      <c r="J47" s="6"/>
      <c r="K47" s="6"/>
      <c r="L47" s="6"/>
      <c r="M47" s="6"/>
      <c r="N47" s="6"/>
    </row>
    <row r="48" spans="1:14" ht="105" x14ac:dyDescent="0.2">
      <c r="A48" s="162" t="str">
        <f>IF(ISBLANK(B48),"",_xlfn.CONCAT("6.",I48))</f>
        <v>6.3</v>
      </c>
      <c r="B48" s="163" t="str">
        <f>IF(D48=0,"","Opdrachtnemer heeft binnen .. maanden na de PAC alles gedaan wat nodig is zodat de FAC (Final Acceptance Certificate) kan worden afgegeven")</f>
        <v>Opdrachtnemer heeft binnen .. maanden na de PAC alles gedaan wat nodig is zodat de FAC (Final Acceptance Certificate) kan worden afgegeven</v>
      </c>
      <c r="C48" s="165" t="s">
        <v>310</v>
      </c>
      <c r="D48" s="29" t="s">
        <v>34</v>
      </c>
      <c r="E48" s="164"/>
      <c r="F48" s="164" t="s">
        <v>311</v>
      </c>
      <c r="G48" s="164" t="s">
        <v>308</v>
      </c>
      <c r="H48" s="164"/>
      <c r="I48" s="153">
        <f t="shared" si="0"/>
        <v>3</v>
      </c>
      <c r="J48" s="6"/>
      <c r="K48" s="6"/>
      <c r="L48" s="6"/>
      <c r="M48" s="6"/>
      <c r="N48" s="6"/>
    </row>
    <row r="49" spans="1:14" ht="15" x14ac:dyDescent="0.2">
      <c r="A49" s="162" t="str">
        <f>IF(ISBLANK(B49),"",_xlfn.CONCAT("6.",I49))</f>
        <v/>
      </c>
      <c r="B49" s="158"/>
      <c r="C49" s="158"/>
      <c r="D49" s="158"/>
      <c r="E49" s="159"/>
      <c r="F49" s="159"/>
      <c r="G49" s="166"/>
      <c r="H49" s="161"/>
      <c r="I49" s="153">
        <f t="shared" si="0"/>
        <v>3</v>
      </c>
      <c r="J49" s="6"/>
      <c r="K49" s="6"/>
      <c r="L49" s="6"/>
      <c r="M49" s="6"/>
      <c r="N49" s="6"/>
    </row>
    <row r="50" spans="1:14" ht="15" x14ac:dyDescent="0.2">
      <c r="A50" s="156" t="s">
        <v>312</v>
      </c>
      <c r="B50" s="87"/>
      <c r="C50" s="87"/>
      <c r="D50" s="87"/>
      <c r="E50" s="115"/>
      <c r="F50" s="115"/>
      <c r="G50" s="114"/>
      <c r="H50" s="115"/>
      <c r="I50" s="153">
        <f t="shared" si="0"/>
        <v>3</v>
      </c>
      <c r="J50" s="6"/>
      <c r="K50" s="6"/>
      <c r="L50" s="6"/>
      <c r="M50" s="6"/>
      <c r="N50" s="6"/>
    </row>
    <row r="51" spans="1:14" ht="75" x14ac:dyDescent="0.2">
      <c r="A51" s="162" t="str">
        <f>IF(ISBLANK(B51),"",_xlfn.CONCAT("6.",I51))</f>
        <v>6.4</v>
      </c>
      <c r="B51" s="167" t="str">
        <f>IF(D51=0,"","Sample testing, ter controle van het vermogen en de kwaliteit van de geleverde zonnepanelen.")</f>
        <v>Sample testing, ter controle van het vermogen en de kwaliteit van de geleverde zonnepanelen.</v>
      </c>
      <c r="C51" s="165" t="s">
        <v>313</v>
      </c>
      <c r="D51" s="29" t="s">
        <v>34</v>
      </c>
      <c r="E51" s="164" t="s">
        <v>314</v>
      </c>
      <c r="F51" s="168" t="s">
        <v>315</v>
      </c>
      <c r="G51" s="168" t="s">
        <v>316</v>
      </c>
      <c r="H51" s="164" t="s">
        <v>317</v>
      </c>
      <c r="I51" s="153">
        <f t="shared" si="0"/>
        <v>4</v>
      </c>
      <c r="J51" s="6"/>
      <c r="K51" s="6"/>
      <c r="L51" s="6"/>
      <c r="M51" s="6"/>
      <c r="N51" s="6"/>
    </row>
    <row r="52" spans="1:14" ht="75" x14ac:dyDescent="0.2">
      <c r="A52" s="162" t="str">
        <f>IF(ISBLANK(B52),"",_xlfn.CONCAT("6.",I52))</f>
        <v>6.5</v>
      </c>
      <c r="B52" s="163" t="str">
        <f>IF(D52=0,"","Factory Audit")</f>
        <v>Factory Audit</v>
      </c>
      <c r="C52" s="165" t="s">
        <v>318</v>
      </c>
      <c r="D52" s="29" t="s">
        <v>34</v>
      </c>
      <c r="E52" s="164" t="s">
        <v>319</v>
      </c>
      <c r="F52" s="164"/>
      <c r="G52" s="164"/>
      <c r="H52" s="169"/>
      <c r="I52" s="153">
        <f t="shared" si="0"/>
        <v>5</v>
      </c>
      <c r="J52" s="6"/>
      <c r="K52" s="6"/>
      <c r="L52" s="6"/>
      <c r="M52" s="6"/>
      <c r="N52" s="6"/>
    </row>
    <row r="53" spans="1:14" ht="15" x14ac:dyDescent="0.2">
      <c r="A53" s="162" t="str">
        <f>IF(ISBLANK(B53),"",_xlfn.CONCAT("6.",I53))</f>
        <v/>
      </c>
      <c r="B53" s="81"/>
      <c r="C53" s="82"/>
      <c r="D53" s="82"/>
      <c r="E53" s="84"/>
      <c r="F53" s="84"/>
      <c r="G53" s="170"/>
      <c r="H53" s="171"/>
      <c r="I53" s="153">
        <f t="shared" si="0"/>
        <v>5</v>
      </c>
      <c r="J53" s="6"/>
      <c r="K53" s="6"/>
      <c r="L53" s="6"/>
      <c r="M53" s="6"/>
      <c r="N53" s="6"/>
    </row>
    <row r="54" spans="1:14" ht="15" x14ac:dyDescent="0.2">
      <c r="A54" s="162" t="str">
        <f>IF(ISBLANK(B54),"",_xlfn.CONCAT("6.",I54))</f>
        <v/>
      </c>
      <c r="B54" s="172"/>
      <c r="C54" s="172"/>
      <c r="D54" s="172"/>
      <c r="E54" s="81"/>
      <c r="F54" s="81"/>
      <c r="G54" s="173"/>
      <c r="H54" s="174"/>
      <c r="I54" s="153">
        <f t="shared" si="0"/>
        <v>5</v>
      </c>
      <c r="J54" s="6"/>
      <c r="K54" s="6"/>
      <c r="L54" s="6"/>
      <c r="M54" s="6"/>
      <c r="N54" s="6"/>
    </row>
    <row r="55" spans="1:14" ht="15" x14ac:dyDescent="0.2">
      <c r="A55" s="157"/>
      <c r="B55" s="175"/>
      <c r="C55" s="175"/>
      <c r="D55" s="175"/>
      <c r="E55" s="175"/>
      <c r="F55" s="175"/>
      <c r="G55" s="173"/>
      <c r="H55" s="174"/>
      <c r="I55" s="153">
        <f t="shared" si="0"/>
        <v>5</v>
      </c>
      <c r="J55" s="6"/>
      <c r="K55" s="6"/>
      <c r="L55" s="6"/>
      <c r="M55" s="6"/>
      <c r="N55" s="6"/>
    </row>
    <row r="56" spans="1:14" ht="15" x14ac:dyDescent="0.2">
      <c r="A56" s="176"/>
      <c r="B56" s="177"/>
      <c r="C56" s="177"/>
      <c r="D56" s="177"/>
      <c r="E56" s="177"/>
      <c r="F56" s="177"/>
      <c r="G56" s="178"/>
      <c r="H56" s="127"/>
      <c r="I56" s="179"/>
      <c r="J56" s="6"/>
      <c r="K56" s="6"/>
      <c r="L56" s="6"/>
      <c r="M56" s="6"/>
      <c r="N56" s="6"/>
    </row>
    <row r="57" spans="1:14" ht="15" x14ac:dyDescent="0.2">
      <c r="A57" s="6"/>
      <c r="B57" s="3"/>
      <c r="C57" s="3"/>
      <c r="D57" s="3"/>
      <c r="E57" s="3"/>
      <c r="F57" s="3"/>
      <c r="G57" s="51"/>
      <c r="H57" s="54"/>
      <c r="I57" s="126"/>
      <c r="J57" s="6"/>
      <c r="K57" s="6"/>
      <c r="L57" s="6"/>
      <c r="M57" s="6"/>
      <c r="N57" s="6"/>
    </row>
    <row r="58" spans="1:14" ht="15" x14ac:dyDescent="0.2">
      <c r="A58" s="6"/>
      <c r="B58" s="3"/>
      <c r="C58" s="3"/>
      <c r="D58" s="3"/>
      <c r="E58" s="3"/>
      <c r="F58" s="3"/>
      <c r="G58" s="51"/>
      <c r="H58" s="54"/>
      <c r="I58" s="126"/>
      <c r="J58" s="6"/>
      <c r="K58" s="6"/>
      <c r="L58" s="6"/>
      <c r="M58" s="6"/>
      <c r="N58" s="6"/>
    </row>
    <row r="59" spans="1:14" ht="15" x14ac:dyDescent="0.2">
      <c r="A59" s="6"/>
      <c r="B59" s="3"/>
      <c r="C59" s="3"/>
      <c r="D59" s="3"/>
      <c r="E59" s="3"/>
      <c r="F59" s="3"/>
      <c r="G59" s="51"/>
      <c r="H59" s="54"/>
      <c r="I59" s="126"/>
      <c r="J59" s="6"/>
      <c r="K59" s="6"/>
      <c r="L59" s="6"/>
      <c r="M59" s="6"/>
      <c r="N59" s="6"/>
    </row>
    <row r="60" spans="1:14" ht="15" x14ac:dyDescent="0.2">
      <c r="A60" s="6"/>
      <c r="B60" s="3"/>
      <c r="C60" s="3"/>
      <c r="D60" s="3"/>
      <c r="E60" s="3"/>
      <c r="F60" s="3"/>
      <c r="G60" s="51"/>
      <c r="H60" s="54"/>
      <c r="I60" s="126"/>
      <c r="J60" s="6"/>
      <c r="K60" s="6"/>
      <c r="L60" s="6"/>
      <c r="M60" s="6"/>
      <c r="N60" s="6"/>
    </row>
    <row r="61" spans="1:14" ht="15" x14ac:dyDescent="0.2">
      <c r="A61" s="6"/>
      <c r="B61" s="3"/>
      <c r="C61" s="3"/>
      <c r="D61" s="3"/>
      <c r="E61" s="3"/>
      <c r="F61" s="3"/>
      <c r="G61" s="51"/>
      <c r="H61" s="54"/>
      <c r="I61" s="126"/>
      <c r="J61" s="6"/>
      <c r="K61" s="6"/>
      <c r="L61" s="6"/>
      <c r="M61" s="6"/>
      <c r="N61" s="6"/>
    </row>
    <row r="62" spans="1:14" ht="15" x14ac:dyDescent="0.2">
      <c r="A62" s="6"/>
      <c r="B62" s="3"/>
      <c r="C62" s="3"/>
      <c r="D62" s="3"/>
      <c r="E62" s="3"/>
      <c r="F62" s="3"/>
      <c r="G62" s="51"/>
      <c r="H62" s="54"/>
      <c r="I62" s="126"/>
      <c r="J62" s="6"/>
      <c r="K62" s="6"/>
      <c r="L62" s="6"/>
      <c r="M62" s="6"/>
      <c r="N62" s="6"/>
    </row>
    <row r="63" spans="1:14" ht="15" x14ac:dyDescent="0.2">
      <c r="A63" s="6"/>
      <c r="B63" s="3"/>
      <c r="C63" s="3"/>
      <c r="D63" s="3"/>
      <c r="E63" s="3"/>
      <c r="F63" s="3"/>
      <c r="G63" s="51"/>
      <c r="H63" s="54"/>
      <c r="I63" s="126"/>
      <c r="J63" s="6"/>
      <c r="K63" s="6"/>
      <c r="L63" s="6"/>
      <c r="M63" s="6"/>
      <c r="N63" s="6"/>
    </row>
    <row r="64" spans="1:14" ht="15" x14ac:dyDescent="0.2">
      <c r="A64" s="6"/>
      <c r="B64" s="3"/>
      <c r="C64" s="3"/>
      <c r="D64" s="3"/>
      <c r="E64" s="3"/>
      <c r="F64" s="3"/>
      <c r="G64" s="51"/>
      <c r="H64" s="54"/>
      <c r="I64" s="126"/>
      <c r="J64" s="6"/>
      <c r="K64" s="6"/>
      <c r="L64" s="6"/>
      <c r="M64" s="6"/>
      <c r="N64" s="6"/>
    </row>
    <row r="65" spans="1:14" ht="15" x14ac:dyDescent="0.2">
      <c r="A65" s="6"/>
      <c r="B65" s="3"/>
      <c r="C65" s="3"/>
      <c r="D65" s="3"/>
      <c r="E65" s="3"/>
      <c r="F65" s="3"/>
      <c r="G65" s="51"/>
      <c r="H65" s="54"/>
      <c r="I65" s="126"/>
      <c r="J65" s="6"/>
      <c r="K65" s="6"/>
      <c r="L65" s="6"/>
      <c r="M65" s="6"/>
      <c r="N65" s="6"/>
    </row>
    <row r="66" spans="1:14" ht="15" x14ac:dyDescent="0.2">
      <c r="A66" s="6"/>
      <c r="B66" s="3"/>
      <c r="C66" s="3"/>
      <c r="D66" s="3"/>
      <c r="E66" s="3"/>
      <c r="F66" s="3"/>
      <c r="G66" s="51"/>
      <c r="H66" s="54"/>
      <c r="I66" s="126"/>
      <c r="J66" s="6"/>
      <c r="K66" s="6"/>
      <c r="L66" s="6"/>
      <c r="M66" s="6"/>
      <c r="N66" s="6"/>
    </row>
  </sheetData>
  <printOptions horizontalCentered="1" verticalCentered="1"/>
  <pageMargins left="0.23622047244094499" right="0.23622047244094499" top="0.74803149606299202" bottom="0.74803149606299202" header="0.31496062992126" footer="0.31496062992126"/>
  <pageSetup paperSize="0" fitToWidth="0" fitToHeight="0" orientation="landscape" horizontalDpi="0" verticalDpi="0" copies="0"/>
  <headerFooter>
    <oddFooter>&amp;L
&amp;1#&amp;10 Intern gebruik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heetViews>
  <sheetFormatPr baseColWidth="10" defaultColWidth="11.5" defaultRowHeight="14.5" x14ac:dyDescent="0.2"/>
  <cols>
    <col min="1" max="1" width="4.6640625" style="7" customWidth="1"/>
    <col min="2" max="2" width="42" style="48" customWidth="1"/>
    <col min="3" max="3" width="28.33203125" style="48" customWidth="1"/>
    <col min="4" max="4" width="6.1640625" style="48" customWidth="1"/>
    <col min="5" max="5" width="104.5" style="48" customWidth="1"/>
    <col min="6" max="6" width="13.1640625" style="48" hidden="1" customWidth="1"/>
    <col min="7" max="7" width="37.1640625" style="49" customWidth="1"/>
    <col min="8" max="8" width="28.83203125" style="50" customWidth="1"/>
    <col min="9" max="9" width="4.83203125" style="7" customWidth="1"/>
    <col min="10" max="10" width="11.5" style="7" customWidth="1"/>
    <col min="11" max="11" width="68" style="7" customWidth="1"/>
    <col min="12" max="12" width="11.5" style="7" customWidth="1"/>
    <col min="13" max="16384" width="11.5" style="7"/>
  </cols>
  <sheetData>
    <row r="1" spans="1:14" ht="15" x14ac:dyDescent="0.15">
      <c r="A1" s="51" t="s">
        <v>320</v>
      </c>
      <c r="B1" s="3"/>
      <c r="C1" s="181" t="s">
        <v>321</v>
      </c>
      <c r="D1" s="3"/>
      <c r="E1" s="4"/>
      <c r="F1" s="53"/>
      <c r="G1" s="51"/>
      <c r="H1" s="54"/>
      <c r="I1" s="51"/>
      <c r="J1" s="6"/>
      <c r="K1" s="6"/>
      <c r="L1" s="6"/>
      <c r="M1" s="6"/>
      <c r="N1" s="6"/>
    </row>
    <row r="2" spans="1:14" ht="15" customHeight="1" x14ac:dyDescent="0.2">
      <c r="A2" s="8" t="s">
        <v>3</v>
      </c>
      <c r="B2" s="182"/>
      <c r="C2" s="3"/>
      <c r="D2" s="3"/>
      <c r="E2" s="15" t="s">
        <v>4</v>
      </c>
      <c r="F2" s="55"/>
      <c r="G2" s="51"/>
      <c r="H2" s="54"/>
      <c r="I2" s="6"/>
      <c r="J2" s="6"/>
      <c r="K2" s="6"/>
      <c r="L2" s="6"/>
      <c r="M2" s="6"/>
      <c r="N2" s="6"/>
    </row>
    <row r="3" spans="1:14" ht="11" customHeight="1" x14ac:dyDescent="0.2">
      <c r="A3" s="14" t="str">
        <f>'1__Eisen_-_Algemeen'!A3</f>
        <v>Versie 1.1 - Juli 2024</v>
      </c>
      <c r="B3" s="3"/>
      <c r="C3" s="3"/>
      <c r="D3" s="3"/>
      <c r="E3" s="15" t="s">
        <v>6</v>
      </c>
      <c r="F3" s="56"/>
      <c r="G3" s="51"/>
      <c r="H3" s="54"/>
      <c r="I3" s="6"/>
      <c r="J3" s="6"/>
      <c r="K3" s="6"/>
      <c r="L3" s="6"/>
      <c r="M3" s="6"/>
      <c r="N3" s="6"/>
    </row>
    <row r="4" spans="1:14" ht="11" customHeight="1" x14ac:dyDescent="0.2">
      <c r="A4" s="14" t="s">
        <v>7</v>
      </c>
      <c r="B4" s="3"/>
      <c r="C4" s="3"/>
      <c r="D4" s="3"/>
      <c r="E4" s="15" t="s">
        <v>8</v>
      </c>
      <c r="F4" s="56"/>
      <c r="G4" s="51"/>
      <c r="H4" s="54"/>
      <c r="I4" s="6"/>
      <c r="J4" s="6"/>
      <c r="K4" s="6"/>
      <c r="L4" s="6"/>
      <c r="M4" s="6"/>
      <c r="N4" s="6"/>
    </row>
    <row r="5" spans="1:14" ht="11" customHeight="1" x14ac:dyDescent="0.2">
      <c r="A5" s="14" t="s">
        <v>9</v>
      </c>
      <c r="B5" s="3"/>
      <c r="C5" s="3"/>
      <c r="D5" s="3"/>
      <c r="E5" s="15" t="s">
        <v>10</v>
      </c>
      <c r="F5" s="56"/>
      <c r="G5" s="51"/>
      <c r="H5" s="54"/>
      <c r="I5" s="6"/>
      <c r="J5" s="6"/>
      <c r="K5" s="6"/>
      <c r="L5" s="6"/>
      <c r="M5" s="6"/>
      <c r="N5" s="6"/>
    </row>
    <row r="6" spans="1:14" ht="20.25" customHeight="1" x14ac:dyDescent="0.2">
      <c r="A6" s="77" t="s">
        <v>11</v>
      </c>
      <c r="B6" s="127" t="s">
        <v>12</v>
      </c>
      <c r="C6" s="127" t="s">
        <v>13</v>
      </c>
      <c r="D6" s="17" t="s">
        <v>14</v>
      </c>
      <c r="E6" s="16" t="s">
        <v>89</v>
      </c>
      <c r="F6" s="16" t="s">
        <v>90</v>
      </c>
      <c r="G6" s="128" t="s">
        <v>131</v>
      </c>
      <c r="H6" s="127" t="s">
        <v>18</v>
      </c>
      <c r="I6" s="19"/>
      <c r="J6" s="6"/>
      <c r="K6" s="6"/>
      <c r="L6" s="6"/>
      <c r="M6" s="6"/>
      <c r="N6" s="6"/>
    </row>
    <row r="7" spans="1:14" ht="15" x14ac:dyDescent="0.2">
      <c r="A7" s="183" t="s">
        <v>322</v>
      </c>
      <c r="B7" s="114"/>
      <c r="C7" s="114"/>
      <c r="D7" s="114"/>
      <c r="E7" s="115"/>
      <c r="F7" s="115"/>
      <c r="G7" s="114"/>
      <c r="H7" s="115"/>
      <c r="I7" s="23"/>
      <c r="J7" s="6"/>
      <c r="K7" s="6"/>
      <c r="L7" s="6"/>
      <c r="M7" s="6"/>
      <c r="N7" s="6"/>
    </row>
    <row r="8" spans="1:14" ht="26" x14ac:dyDescent="0.2">
      <c r="A8" s="81" t="str">
        <f t="shared" ref="A8:A19" si="0">IF(ISBLANK(B8),"",_xlfn.CONCAT("7.",I8))</f>
        <v>7.1</v>
      </c>
      <c r="B8" s="172" t="s">
        <v>323</v>
      </c>
      <c r="C8" s="26" t="s">
        <v>324</v>
      </c>
      <c r="D8" s="184"/>
      <c r="E8" s="92" t="s">
        <v>325</v>
      </c>
      <c r="F8" s="92"/>
      <c r="G8" s="84" t="s">
        <v>326</v>
      </c>
      <c r="H8" s="46" t="s">
        <v>327</v>
      </c>
      <c r="I8" s="185">
        <v>1</v>
      </c>
      <c r="J8" s="6"/>
      <c r="K8" s="6"/>
      <c r="L8" s="6"/>
      <c r="M8" s="6"/>
      <c r="N8" s="6"/>
    </row>
    <row r="9" spans="1:14" ht="65" x14ac:dyDescent="0.2">
      <c r="A9" s="81" t="str">
        <f t="shared" si="0"/>
        <v>7.2</v>
      </c>
      <c r="B9" s="172" t="s">
        <v>328</v>
      </c>
      <c r="C9" s="26" t="s">
        <v>329</v>
      </c>
      <c r="D9" s="186"/>
      <c r="E9" s="92" t="s">
        <v>330</v>
      </c>
      <c r="F9" s="84"/>
      <c r="G9" s="84" t="s">
        <v>331</v>
      </c>
      <c r="H9" s="46" t="s">
        <v>332</v>
      </c>
      <c r="I9" s="185">
        <f t="shared" ref="I9:I32" si="1">IF(ISBLANK(B9),I8,I8+1)</f>
        <v>2</v>
      </c>
      <c r="J9" s="6"/>
      <c r="K9" s="9"/>
      <c r="L9" s="6"/>
      <c r="M9" s="6"/>
      <c r="N9" s="6"/>
    </row>
    <row r="10" spans="1:14" ht="15" x14ac:dyDescent="0.2">
      <c r="A10" s="81" t="str">
        <f t="shared" si="0"/>
        <v>7.3</v>
      </c>
      <c r="B10" s="82" t="s">
        <v>333</v>
      </c>
      <c r="C10" s="24"/>
      <c r="D10" s="32"/>
      <c r="E10" s="84" t="s">
        <v>334</v>
      </c>
      <c r="F10" s="84"/>
      <c r="G10" s="84" t="s">
        <v>335</v>
      </c>
      <c r="H10" s="118"/>
      <c r="I10" s="185">
        <f t="shared" si="1"/>
        <v>3</v>
      </c>
      <c r="J10" s="6"/>
      <c r="K10" s="6"/>
      <c r="L10" s="6"/>
      <c r="M10" s="6"/>
      <c r="N10" s="6"/>
    </row>
    <row r="11" spans="1:14" ht="39" x14ac:dyDescent="0.2">
      <c r="A11" s="81" t="str">
        <f t="shared" si="0"/>
        <v>7.4</v>
      </c>
      <c r="B11" s="172" t="s">
        <v>336</v>
      </c>
      <c r="C11" s="26" t="s">
        <v>337</v>
      </c>
      <c r="D11" s="186"/>
      <c r="E11" s="84" t="s">
        <v>335</v>
      </c>
      <c r="F11" s="84"/>
      <c r="G11" s="84" t="s">
        <v>338</v>
      </c>
      <c r="H11" s="118"/>
      <c r="I11" s="185">
        <f t="shared" si="1"/>
        <v>4</v>
      </c>
      <c r="J11" s="6"/>
      <c r="K11" s="6"/>
      <c r="L11" s="6"/>
      <c r="M11" s="6"/>
      <c r="N11" s="6"/>
    </row>
    <row r="12" spans="1:14" ht="39" x14ac:dyDescent="0.2">
      <c r="A12" s="81" t="str">
        <f t="shared" si="0"/>
        <v>7.5</v>
      </c>
      <c r="B12" s="172" t="s">
        <v>339</v>
      </c>
      <c r="C12" s="26" t="s">
        <v>340</v>
      </c>
      <c r="D12" s="186"/>
      <c r="E12" s="84" t="s">
        <v>335</v>
      </c>
      <c r="F12" s="84"/>
      <c r="G12" s="84" t="s">
        <v>338</v>
      </c>
      <c r="H12" s="118"/>
      <c r="I12" s="185">
        <f t="shared" si="1"/>
        <v>5</v>
      </c>
      <c r="J12" s="6"/>
      <c r="K12" s="6"/>
      <c r="L12" s="6"/>
      <c r="M12" s="6"/>
      <c r="N12" s="6"/>
    </row>
    <row r="13" spans="1:14" ht="39" x14ac:dyDescent="0.2">
      <c r="A13" s="81" t="str">
        <f t="shared" si="0"/>
        <v>7.6</v>
      </c>
      <c r="B13" s="172" t="s">
        <v>341</v>
      </c>
      <c r="C13" s="26" t="s">
        <v>342</v>
      </c>
      <c r="D13" s="186"/>
      <c r="E13" s="84" t="s">
        <v>335</v>
      </c>
      <c r="F13" s="84"/>
      <c r="G13" s="84" t="s">
        <v>338</v>
      </c>
      <c r="H13" s="118"/>
      <c r="I13" s="185">
        <f t="shared" si="1"/>
        <v>6</v>
      </c>
      <c r="J13" s="6"/>
      <c r="K13" s="6"/>
      <c r="L13" s="6"/>
      <c r="M13" s="6"/>
      <c r="N13" s="6"/>
    </row>
    <row r="14" spans="1:14" ht="39" x14ac:dyDescent="0.2">
      <c r="A14" s="81" t="str">
        <f t="shared" si="0"/>
        <v>7.7</v>
      </c>
      <c r="B14" s="172" t="s">
        <v>343</v>
      </c>
      <c r="C14" s="26" t="s">
        <v>344</v>
      </c>
      <c r="D14" s="186"/>
      <c r="E14" s="84" t="s">
        <v>335</v>
      </c>
      <c r="F14" s="84"/>
      <c r="G14" s="84" t="s">
        <v>338</v>
      </c>
      <c r="H14" s="118"/>
      <c r="I14" s="185">
        <f t="shared" si="1"/>
        <v>7</v>
      </c>
      <c r="J14" s="6"/>
      <c r="K14" s="6"/>
      <c r="L14" s="6"/>
      <c r="M14" s="6"/>
      <c r="N14" s="6"/>
    </row>
    <row r="15" spans="1:14" ht="52" x14ac:dyDescent="0.2">
      <c r="A15" s="81" t="str">
        <f t="shared" si="0"/>
        <v>7.8</v>
      </c>
      <c r="B15" s="172" t="s">
        <v>345</v>
      </c>
      <c r="C15" s="26" t="s">
        <v>346</v>
      </c>
      <c r="D15" s="187"/>
      <c r="E15" s="84" t="s">
        <v>335</v>
      </c>
      <c r="F15" s="84"/>
      <c r="G15" s="84" t="s">
        <v>338</v>
      </c>
      <c r="H15" s="118"/>
      <c r="I15" s="185">
        <f t="shared" si="1"/>
        <v>8</v>
      </c>
      <c r="J15" s="6"/>
      <c r="K15" s="6"/>
      <c r="L15" s="6"/>
      <c r="M15" s="6"/>
      <c r="N15" s="6"/>
    </row>
    <row r="16" spans="1:14" ht="39" x14ac:dyDescent="0.2">
      <c r="A16" s="81" t="str">
        <f t="shared" si="0"/>
        <v>7.9</v>
      </c>
      <c r="B16" s="172" t="s">
        <v>347</v>
      </c>
      <c r="C16" s="26" t="s">
        <v>346</v>
      </c>
      <c r="D16" s="188"/>
      <c r="E16" s="84" t="s">
        <v>348</v>
      </c>
      <c r="F16" s="84"/>
      <c r="G16" s="84" t="s">
        <v>338</v>
      </c>
      <c r="H16" s="25"/>
      <c r="I16" s="185">
        <f t="shared" si="1"/>
        <v>9</v>
      </c>
      <c r="J16" s="6"/>
      <c r="K16" s="6"/>
      <c r="L16" s="6"/>
      <c r="M16" s="6"/>
      <c r="N16" s="6"/>
    </row>
    <row r="17" spans="1:14" ht="39" x14ac:dyDescent="0.2">
      <c r="A17" s="81" t="str">
        <f t="shared" si="0"/>
        <v>7.10</v>
      </c>
      <c r="B17" s="82" t="s">
        <v>349</v>
      </c>
      <c r="C17" s="26" t="s">
        <v>346</v>
      </c>
      <c r="D17" s="189"/>
      <c r="E17" s="84" t="s">
        <v>350</v>
      </c>
      <c r="F17" s="84"/>
      <c r="G17" s="84" t="s">
        <v>338</v>
      </c>
      <c r="H17" s="118"/>
      <c r="I17" s="185">
        <f t="shared" si="1"/>
        <v>10</v>
      </c>
      <c r="J17" s="6"/>
      <c r="K17" s="6"/>
      <c r="L17" s="6"/>
      <c r="M17" s="6"/>
      <c r="N17" s="6"/>
    </row>
    <row r="18" spans="1:14" ht="15" x14ac:dyDescent="0.2">
      <c r="A18" s="81" t="str">
        <f t="shared" si="0"/>
        <v>7.11</v>
      </c>
      <c r="B18" s="82" t="s">
        <v>351</v>
      </c>
      <c r="C18" s="26" t="s">
        <v>346</v>
      </c>
      <c r="D18" s="189"/>
      <c r="E18" s="84" t="s">
        <v>352</v>
      </c>
      <c r="F18" s="84"/>
      <c r="G18" s="82"/>
      <c r="H18" s="118"/>
      <c r="I18" s="185">
        <f t="shared" si="1"/>
        <v>11</v>
      </c>
      <c r="J18" s="6"/>
      <c r="K18" s="6"/>
      <c r="L18" s="6"/>
      <c r="M18" s="6"/>
      <c r="N18" s="6"/>
    </row>
    <row r="19" spans="1:14" ht="15" x14ac:dyDescent="0.2">
      <c r="A19" s="24" t="str">
        <f t="shared" si="0"/>
        <v/>
      </c>
      <c r="B19" s="40"/>
      <c r="C19" s="40"/>
      <c r="D19" s="40"/>
      <c r="E19" s="118"/>
      <c r="F19" s="118"/>
      <c r="G19" s="40"/>
      <c r="H19" s="118"/>
      <c r="I19" s="185">
        <f t="shared" si="1"/>
        <v>11</v>
      </c>
      <c r="J19" s="6"/>
      <c r="K19" s="6"/>
      <c r="L19" s="6"/>
      <c r="M19" s="6"/>
      <c r="N19" s="6"/>
    </row>
    <row r="20" spans="1:14" ht="15" x14ac:dyDescent="0.2">
      <c r="A20" s="190" t="s">
        <v>353</v>
      </c>
      <c r="B20" s="191"/>
      <c r="C20" s="191"/>
      <c r="D20" s="191"/>
      <c r="E20" s="192"/>
      <c r="F20" s="192"/>
      <c r="G20" s="191"/>
      <c r="H20" s="192"/>
      <c r="I20" s="185">
        <f t="shared" si="1"/>
        <v>11</v>
      </c>
      <c r="J20" s="6"/>
      <c r="K20" s="6"/>
      <c r="L20" s="6"/>
      <c r="M20" s="6"/>
      <c r="N20" s="6"/>
    </row>
    <row r="21" spans="1:14" ht="39" x14ac:dyDescent="0.2">
      <c r="A21" s="24" t="str">
        <f t="shared" ref="A21:A26" si="2">IF(ISBLANK(B21),"",_xlfn.CONCAT("7.",I21))</f>
        <v>7.12</v>
      </c>
      <c r="B21" s="40" t="s">
        <v>354</v>
      </c>
      <c r="C21" s="40"/>
      <c r="D21" s="40"/>
      <c r="E21" s="118"/>
      <c r="F21" s="118"/>
      <c r="G21" s="193"/>
      <c r="H21" s="194"/>
      <c r="I21" s="185">
        <f t="shared" si="1"/>
        <v>12</v>
      </c>
      <c r="J21" s="6"/>
      <c r="K21" s="6"/>
      <c r="L21" s="6"/>
      <c r="M21" s="6"/>
      <c r="N21" s="6"/>
    </row>
    <row r="22" spans="1:14" ht="39" x14ac:dyDescent="0.2">
      <c r="A22" s="24" t="str">
        <f t="shared" si="2"/>
        <v>7.13</v>
      </c>
      <c r="B22" s="40" t="s">
        <v>355</v>
      </c>
      <c r="C22" s="40"/>
      <c r="D22" s="40"/>
      <c r="E22" s="195"/>
      <c r="F22" s="195"/>
      <c r="G22" s="193"/>
      <c r="H22" s="194"/>
      <c r="I22" s="185">
        <f t="shared" si="1"/>
        <v>13</v>
      </c>
      <c r="J22" s="6"/>
      <c r="K22" s="6"/>
      <c r="L22" s="6"/>
      <c r="M22" s="6"/>
      <c r="N22" s="6"/>
    </row>
    <row r="23" spans="1:14" ht="182" x14ac:dyDescent="0.2">
      <c r="A23" s="24" t="str">
        <f t="shared" si="2"/>
        <v>7.14</v>
      </c>
      <c r="B23" s="189" t="s">
        <v>356</v>
      </c>
      <c r="C23" s="40"/>
      <c r="D23" s="40"/>
      <c r="E23" s="84" t="s">
        <v>335</v>
      </c>
      <c r="F23" s="118"/>
      <c r="G23" s="193"/>
      <c r="H23" s="194"/>
      <c r="I23" s="185">
        <f t="shared" si="1"/>
        <v>14</v>
      </c>
      <c r="J23" s="6"/>
      <c r="K23" s="6"/>
      <c r="L23" s="6"/>
      <c r="M23" s="51"/>
      <c r="N23" s="6"/>
    </row>
    <row r="24" spans="1:14" ht="15" x14ac:dyDescent="0.2">
      <c r="A24" s="24" t="str">
        <f t="shared" si="2"/>
        <v>7.15</v>
      </c>
      <c r="B24" s="40" t="s">
        <v>357</v>
      </c>
      <c r="C24" s="40"/>
      <c r="D24" s="40"/>
      <c r="E24" s="118"/>
      <c r="F24" s="118"/>
      <c r="G24" s="193"/>
      <c r="H24" s="194"/>
      <c r="I24" s="185">
        <f t="shared" si="1"/>
        <v>15</v>
      </c>
      <c r="J24" s="6"/>
      <c r="K24" s="6"/>
      <c r="L24" s="6"/>
      <c r="M24" s="51"/>
      <c r="N24" s="6"/>
    </row>
    <row r="25" spans="1:14" ht="15" x14ac:dyDescent="0.2">
      <c r="A25" s="24" t="str">
        <f t="shared" si="2"/>
        <v>7.16</v>
      </c>
      <c r="B25" s="28" t="str">
        <f>IF(D26=0,"","De monitoring wordt uitgevoerd door de opdrachtnemer.")</f>
        <v>De monitoring wordt uitgevoerd door de opdrachtnemer.</v>
      </c>
      <c r="C25" s="40"/>
      <c r="D25" s="29" t="s">
        <v>34</v>
      </c>
      <c r="E25" s="118"/>
      <c r="F25" s="118"/>
      <c r="G25" s="193"/>
      <c r="H25" s="194"/>
      <c r="I25" s="185">
        <f t="shared" si="1"/>
        <v>16</v>
      </c>
      <c r="J25" s="6"/>
      <c r="K25" s="6"/>
      <c r="L25" s="6"/>
      <c r="M25" s="6"/>
      <c r="N25" s="6"/>
    </row>
    <row r="26" spans="1:14" ht="39" x14ac:dyDescent="0.2">
      <c r="A26" s="24" t="str">
        <f t="shared" si="2"/>
        <v>7.17</v>
      </c>
      <c r="B26" s="28" t="str">
        <f>IF(D26=0,"","Statusrapporten met gegevens over afgelopen maand uit het monitoringsysteem worden binnen 15 dagen na einde van de maand verstuurd")</f>
        <v>Statusrapporten met gegevens over afgelopen maand uit het monitoringsysteem worden binnen 15 dagen na einde van de maand verstuurd</v>
      </c>
      <c r="C26" s="25"/>
      <c r="D26" s="29" t="s">
        <v>34</v>
      </c>
      <c r="E26" s="84" t="s">
        <v>335</v>
      </c>
      <c r="F26" s="25"/>
      <c r="G26" s="24"/>
      <c r="H26" s="196"/>
      <c r="I26" s="185">
        <f t="shared" si="1"/>
        <v>17</v>
      </c>
      <c r="J26" s="6"/>
      <c r="K26" s="6"/>
      <c r="L26" s="6"/>
      <c r="M26" s="6"/>
      <c r="N26" s="6"/>
    </row>
    <row r="27" spans="1:14" ht="15" x14ac:dyDescent="0.2">
      <c r="A27" s="190" t="s">
        <v>358</v>
      </c>
      <c r="B27" s="191"/>
      <c r="C27" s="191"/>
      <c r="D27" s="191"/>
      <c r="E27" s="192"/>
      <c r="F27" s="192"/>
      <c r="G27" s="191"/>
      <c r="H27" s="192"/>
      <c r="I27" s="185">
        <f t="shared" si="1"/>
        <v>17</v>
      </c>
      <c r="J27" s="6"/>
      <c r="K27" s="6"/>
      <c r="L27" s="6"/>
      <c r="M27" s="6"/>
      <c r="N27" s="6"/>
    </row>
    <row r="28" spans="1:14" ht="26" x14ac:dyDescent="0.2">
      <c r="A28" s="24" t="str">
        <f>IF(ISBLANK(B28),"",_xlfn.CONCAT("7.",I28))</f>
        <v>7.18</v>
      </c>
      <c r="B28" s="197" t="str">
        <f>IF(D28=0,"","Bedrijf verantwoordelijk voor O&amp;M heeft ervaring en beheert inmiddels minimaal aan PV installaties:")</f>
        <v>Bedrijf verantwoordelijk voor O&amp;M heeft ervaring en beheert inmiddels minimaal aan PV installaties:</v>
      </c>
      <c r="C28" s="26" t="s">
        <v>359</v>
      </c>
      <c r="D28" s="29" t="s">
        <v>34</v>
      </c>
      <c r="E28" s="84" t="s">
        <v>335</v>
      </c>
      <c r="F28" s="25"/>
      <c r="G28" s="24"/>
      <c r="H28" s="196"/>
      <c r="I28" s="185">
        <f t="shared" si="1"/>
        <v>18</v>
      </c>
      <c r="J28" s="6"/>
      <c r="K28" s="6"/>
      <c r="L28" s="6"/>
      <c r="M28" s="6"/>
      <c r="N28" s="6"/>
    </row>
    <row r="29" spans="1:14" ht="26" x14ac:dyDescent="0.2">
      <c r="A29" s="24" t="str">
        <f>IF(ISBLANK(B29),"",_xlfn.CONCAT("7.",I29))</f>
        <v>7.19</v>
      </c>
      <c r="B29" s="197" t="str">
        <f>IF(D29=0,"","Bedrijf verantwoordelijk voor O&amp;M heeft een goed trackrecord")</f>
        <v>Bedrijf verantwoordelijk voor O&amp;M heeft een goed trackrecord</v>
      </c>
      <c r="C29" s="26" t="s">
        <v>360</v>
      </c>
      <c r="D29" s="29" t="s">
        <v>34</v>
      </c>
      <c r="E29" s="84" t="s">
        <v>335</v>
      </c>
      <c r="F29" s="25"/>
      <c r="G29" s="40"/>
      <c r="H29" s="118"/>
      <c r="I29" s="185">
        <f t="shared" si="1"/>
        <v>19</v>
      </c>
      <c r="J29" s="6"/>
      <c r="K29" s="6"/>
      <c r="L29" s="6"/>
      <c r="M29" s="6"/>
      <c r="N29" s="6"/>
    </row>
    <row r="30" spans="1:14" ht="15" x14ac:dyDescent="0.2">
      <c r="A30" s="24" t="str">
        <f>IF(ISBLANK(B30),"",_xlfn.CONCAT("7.",I30))</f>
        <v/>
      </c>
      <c r="B30" s="118"/>
      <c r="C30" s="118"/>
      <c r="D30" s="118"/>
      <c r="E30" s="118"/>
      <c r="F30" s="118"/>
      <c r="G30" s="40"/>
      <c r="H30" s="118"/>
      <c r="I30" s="185">
        <f t="shared" si="1"/>
        <v>19</v>
      </c>
      <c r="J30" s="6"/>
      <c r="K30" s="6"/>
      <c r="L30" s="6"/>
      <c r="M30" s="6"/>
      <c r="N30" s="6"/>
    </row>
    <row r="31" spans="1:14" ht="15" x14ac:dyDescent="0.2">
      <c r="A31" s="24" t="str">
        <f>IF(ISBLANK(B31),"",_xlfn.CONCAT("7.",I31))</f>
        <v/>
      </c>
      <c r="B31" s="118"/>
      <c r="C31" s="118"/>
      <c r="D31" s="118"/>
      <c r="E31" s="118"/>
      <c r="F31" s="118"/>
      <c r="G31" s="40"/>
      <c r="H31" s="118"/>
      <c r="I31" s="185">
        <f t="shared" si="1"/>
        <v>19</v>
      </c>
      <c r="J31" s="6"/>
      <c r="K31" s="6"/>
      <c r="L31" s="6"/>
      <c r="M31" s="6"/>
      <c r="N31" s="6"/>
    </row>
    <row r="32" spans="1:14" ht="15" x14ac:dyDescent="0.2">
      <c r="A32" s="24" t="str">
        <f>IF(ISBLANK(B32),"",_xlfn.CONCAT("1.",I32))</f>
        <v/>
      </c>
      <c r="B32" s="40"/>
      <c r="C32" s="40"/>
      <c r="D32" s="40"/>
      <c r="E32" s="118"/>
      <c r="F32" s="118"/>
      <c r="G32" s="40"/>
      <c r="H32" s="118"/>
      <c r="I32" s="185">
        <f t="shared" si="1"/>
        <v>19</v>
      </c>
      <c r="J32" s="6"/>
      <c r="K32" s="6"/>
      <c r="L32" s="6"/>
      <c r="M32" s="6"/>
      <c r="N32" s="6"/>
    </row>
    <row r="33" spans="1:14" ht="15" x14ac:dyDescent="0.2">
      <c r="A33" s="6"/>
      <c r="B33" s="3"/>
      <c r="C33" s="3"/>
      <c r="D33" s="3"/>
      <c r="E33" s="3"/>
      <c r="F33" s="3"/>
      <c r="G33" s="51"/>
      <c r="H33" s="54"/>
      <c r="I33" s="6"/>
      <c r="J33" s="6"/>
      <c r="K33" s="6"/>
      <c r="L33" s="6"/>
      <c r="M33" s="6"/>
      <c r="N33" s="6"/>
    </row>
    <row r="34" spans="1:14" ht="15" x14ac:dyDescent="0.2">
      <c r="A34" s="6"/>
      <c r="B34" s="3"/>
      <c r="C34" s="3"/>
      <c r="D34" s="3"/>
      <c r="E34" s="3"/>
      <c r="F34" s="3"/>
      <c r="G34" s="51"/>
      <c r="H34" s="54"/>
      <c r="I34" s="6"/>
      <c r="J34" s="6"/>
      <c r="K34" s="6"/>
      <c r="L34" s="6"/>
      <c r="M34" s="6"/>
      <c r="N34" s="6"/>
    </row>
    <row r="35" spans="1:14" ht="15" x14ac:dyDescent="0.2">
      <c r="A35" s="6"/>
      <c r="B35" s="3"/>
      <c r="C35" s="3"/>
      <c r="D35" s="3"/>
      <c r="E35" s="3"/>
      <c r="F35" s="3"/>
      <c r="G35" s="51"/>
      <c r="H35" s="54"/>
      <c r="I35" s="6"/>
      <c r="J35" s="6"/>
      <c r="K35" s="6"/>
      <c r="L35" s="6"/>
      <c r="M35" s="6"/>
      <c r="N35" s="6"/>
    </row>
    <row r="36" spans="1:14" ht="15" x14ac:dyDescent="0.2">
      <c r="A36" s="6"/>
      <c r="B36" s="3"/>
      <c r="C36" s="3"/>
      <c r="D36" s="3"/>
      <c r="E36" s="3"/>
      <c r="F36" s="3"/>
      <c r="G36" s="51"/>
      <c r="H36" s="54"/>
      <c r="I36" s="6"/>
      <c r="J36" s="6"/>
      <c r="K36" s="6"/>
      <c r="L36" s="6"/>
      <c r="M36" s="6"/>
      <c r="N36" s="6"/>
    </row>
    <row r="37" spans="1:14" ht="15" x14ac:dyDescent="0.2">
      <c r="A37" s="6"/>
      <c r="B37" s="198"/>
      <c r="C37" s="198"/>
      <c r="D37" s="198"/>
      <c r="E37" s="198"/>
      <c r="F37" s="198"/>
      <c r="G37" s="51"/>
      <c r="H37" s="54"/>
      <c r="I37" s="6"/>
      <c r="J37" s="6"/>
      <c r="K37" s="6"/>
      <c r="L37" s="6"/>
      <c r="M37" s="6"/>
      <c r="N37" s="6"/>
    </row>
    <row r="38" spans="1:14" ht="15" x14ac:dyDescent="0.2">
      <c r="A38" s="6"/>
      <c r="B38" s="51"/>
      <c r="C38" s="51"/>
      <c r="D38" s="51"/>
      <c r="E38" s="51"/>
      <c r="F38" s="51"/>
      <c r="G38" s="51"/>
      <c r="H38" s="54"/>
      <c r="I38" s="6"/>
      <c r="J38" s="6"/>
      <c r="K38" s="6"/>
      <c r="L38" s="6"/>
      <c r="M38" s="6"/>
      <c r="N38" s="6"/>
    </row>
    <row r="39" spans="1:14" ht="15" x14ac:dyDescent="0.2">
      <c r="A39" s="6"/>
      <c r="B39" s="51"/>
      <c r="C39" s="51"/>
      <c r="D39" s="51"/>
      <c r="E39" s="51"/>
      <c r="F39" s="51"/>
      <c r="G39" s="51"/>
      <c r="H39" s="54"/>
      <c r="I39" s="6"/>
      <c r="J39" s="6"/>
      <c r="K39" s="6"/>
      <c r="L39" s="6"/>
      <c r="M39" s="6"/>
      <c r="N39" s="6"/>
    </row>
    <row r="40" spans="1:14" ht="15" x14ac:dyDescent="0.2">
      <c r="A40" s="6"/>
      <c r="B40" s="51"/>
      <c r="C40" s="51"/>
      <c r="D40" s="51"/>
      <c r="E40" s="51"/>
      <c r="F40" s="51"/>
      <c r="G40" s="51"/>
      <c r="H40" s="54"/>
      <c r="I40" s="6"/>
      <c r="J40" s="6"/>
      <c r="K40" s="6"/>
      <c r="L40" s="6"/>
      <c r="M40" s="6"/>
      <c r="N40" s="6"/>
    </row>
    <row r="41" spans="1:14" ht="15" x14ac:dyDescent="0.2">
      <c r="A41" s="6"/>
      <c r="B41" s="51"/>
      <c r="C41" s="51"/>
      <c r="D41" s="51"/>
      <c r="E41" s="51"/>
      <c r="F41" s="51"/>
      <c r="G41" s="51"/>
      <c r="H41" s="54"/>
      <c r="I41" s="6"/>
      <c r="J41" s="6"/>
      <c r="K41" s="6"/>
      <c r="L41" s="6"/>
      <c r="M41" s="6"/>
      <c r="N41" s="6"/>
    </row>
    <row r="42" spans="1:14" ht="15" x14ac:dyDescent="0.2">
      <c r="A42" s="6"/>
      <c r="B42" s="51"/>
      <c r="C42" s="51"/>
      <c r="D42" s="51"/>
      <c r="E42" s="51"/>
      <c r="F42" s="51"/>
      <c r="G42" s="51"/>
      <c r="H42" s="54"/>
      <c r="I42" s="6"/>
      <c r="J42" s="6"/>
      <c r="K42" s="6"/>
      <c r="L42" s="6"/>
      <c r="M42" s="6"/>
      <c r="N42" s="6"/>
    </row>
    <row r="43" spans="1:14" ht="15" x14ac:dyDescent="0.2">
      <c r="A43" s="6"/>
      <c r="B43" s="51"/>
      <c r="C43" s="51"/>
      <c r="D43" s="51"/>
      <c r="E43" s="51"/>
      <c r="F43" s="51"/>
      <c r="G43" s="51"/>
      <c r="H43" s="54"/>
      <c r="I43" s="6"/>
      <c r="J43" s="6"/>
      <c r="K43" s="6"/>
      <c r="L43" s="6"/>
      <c r="M43" s="6"/>
      <c r="N43" s="6"/>
    </row>
  </sheetData>
  <printOptions horizontalCentered="1" verticalCentered="1"/>
  <pageMargins left="0.23622047244094499" right="0.23622047244094499" top="0.74803149606299202" bottom="0.74803149606299202" header="0.31496062992126" footer="0.31496062992126"/>
  <pageSetup paperSize="0" fitToWidth="0" fitToHeight="0" orientation="landscape" horizontalDpi="0" verticalDpi="0" copies="0"/>
  <headerFooter>
    <oddFooter>&amp;L
&amp;1#&amp;10 Intern gebruik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heetViews>
  <sheetFormatPr baseColWidth="10" defaultColWidth="11.5" defaultRowHeight="14.5" x14ac:dyDescent="0.2"/>
  <cols>
    <col min="1" max="1" width="4.1640625" style="7" customWidth="1"/>
    <col min="2" max="2" width="54.1640625" style="216" customWidth="1"/>
    <col min="3" max="3" width="10.83203125" style="48" customWidth="1"/>
    <col min="4" max="4" width="6.6640625" style="48" customWidth="1"/>
    <col min="5" max="5" width="64.83203125" style="48" customWidth="1"/>
    <col min="6" max="6" width="23.5" style="49" customWidth="1"/>
    <col min="7" max="7" width="28.83203125" style="49" customWidth="1"/>
    <col min="8" max="8" width="4.83203125" style="50" hidden="1" customWidth="1"/>
    <col min="9" max="9" width="11.5" style="7" customWidth="1"/>
    <col min="10" max="16384" width="11.5" style="7"/>
  </cols>
  <sheetData>
    <row r="1" spans="1:15" ht="21.75" customHeight="1" x14ac:dyDescent="0.15">
      <c r="A1" s="51" t="s">
        <v>361</v>
      </c>
      <c r="B1" s="199"/>
      <c r="C1" s="3"/>
      <c r="D1" s="3"/>
      <c r="E1" s="4" t="s">
        <v>2</v>
      </c>
      <c r="F1" s="51"/>
      <c r="G1" s="51"/>
      <c r="H1" s="54"/>
      <c r="I1" s="6"/>
      <c r="J1" s="6"/>
      <c r="K1" s="6"/>
      <c r="L1" s="6"/>
      <c r="M1" s="6"/>
      <c r="N1" s="6"/>
      <c r="O1" s="6"/>
    </row>
    <row r="2" spans="1:15" ht="13" customHeight="1" x14ac:dyDescent="0.2">
      <c r="A2" s="8" t="s">
        <v>3</v>
      </c>
      <c r="B2" s="199"/>
      <c r="C2" s="3"/>
      <c r="D2" s="3"/>
      <c r="E2" s="10" t="s">
        <v>4</v>
      </c>
      <c r="F2" s="51"/>
      <c r="G2" s="51"/>
      <c r="H2" s="54"/>
      <c r="I2" s="6"/>
      <c r="J2" s="6"/>
      <c r="K2" s="6"/>
      <c r="L2" s="6"/>
      <c r="M2" s="6"/>
      <c r="N2" s="6"/>
      <c r="O2" s="6"/>
    </row>
    <row r="3" spans="1:15" ht="13" customHeight="1" x14ac:dyDescent="0.2">
      <c r="A3" s="14" t="str">
        <f>'1__Eisen_-_Algemeen'!A3</f>
        <v>Versie 1.1 - Juli 2024</v>
      </c>
      <c r="B3" s="199"/>
      <c r="C3" s="3"/>
      <c r="D3" s="3"/>
      <c r="E3" s="15" t="s">
        <v>6</v>
      </c>
      <c r="F3" s="51"/>
      <c r="G3" s="51"/>
      <c r="H3" s="54"/>
      <c r="I3" s="6"/>
      <c r="J3" s="6"/>
      <c r="K3" s="6"/>
      <c r="L3" s="6"/>
      <c r="M3" s="6"/>
      <c r="N3" s="6"/>
      <c r="O3" s="6"/>
    </row>
    <row r="4" spans="1:15" ht="13" customHeight="1" x14ac:dyDescent="0.2">
      <c r="A4" s="14" t="s">
        <v>7</v>
      </c>
      <c r="B4" s="199"/>
      <c r="C4" s="3"/>
      <c r="D4" s="3"/>
      <c r="E4" s="15" t="s">
        <v>8</v>
      </c>
      <c r="F4" s="51"/>
      <c r="G4" s="51"/>
      <c r="H4" s="54"/>
      <c r="I4" s="6"/>
      <c r="J4" s="6"/>
      <c r="K4" s="6"/>
      <c r="L4" s="6"/>
      <c r="M4" s="6"/>
      <c r="N4" s="6"/>
      <c r="O4" s="6"/>
    </row>
    <row r="5" spans="1:15" ht="13" customHeight="1" x14ac:dyDescent="0.2">
      <c r="A5" s="14" t="s">
        <v>9</v>
      </c>
      <c r="B5" s="199"/>
      <c r="C5" s="3"/>
      <c r="D5" s="3"/>
      <c r="E5" s="15" t="s">
        <v>362</v>
      </c>
      <c r="F5" s="51"/>
      <c r="G5" s="51"/>
      <c r="H5" s="54"/>
      <c r="I5" s="6"/>
      <c r="J5" s="6"/>
      <c r="K5" s="6"/>
      <c r="L5" s="6"/>
      <c r="M5" s="6"/>
      <c r="N5" s="6"/>
      <c r="O5" s="6"/>
    </row>
    <row r="6" spans="1:15" ht="26" customHeight="1" x14ac:dyDescent="0.2">
      <c r="A6" s="200" t="s">
        <v>11</v>
      </c>
      <c r="B6" s="201" t="s">
        <v>12</v>
      </c>
      <c r="C6" s="201" t="s">
        <v>13</v>
      </c>
      <c r="D6" s="17" t="s">
        <v>14</v>
      </c>
      <c r="E6" s="201" t="s">
        <v>363</v>
      </c>
      <c r="F6" s="201" t="s">
        <v>131</v>
      </c>
      <c r="G6" s="201" t="s">
        <v>18</v>
      </c>
      <c r="H6" s="19"/>
      <c r="I6" s="6"/>
      <c r="J6" s="6"/>
      <c r="K6" s="6"/>
      <c r="L6" s="6"/>
      <c r="M6" s="6"/>
      <c r="N6" s="6"/>
      <c r="O6" s="6"/>
    </row>
    <row r="7" spans="1:15" ht="15" x14ac:dyDescent="0.2">
      <c r="A7" s="183" t="s">
        <v>364</v>
      </c>
      <c r="B7" s="202"/>
      <c r="C7" s="114"/>
      <c r="D7" s="203"/>
      <c r="E7" s="115"/>
      <c r="F7" s="114"/>
      <c r="G7" s="114"/>
      <c r="H7" s="27"/>
      <c r="I7" s="6"/>
      <c r="J7" s="6"/>
      <c r="K7" s="6"/>
      <c r="L7" s="6"/>
      <c r="M7" s="6"/>
      <c r="N7" s="6"/>
      <c r="O7" s="6"/>
    </row>
    <row r="8" spans="1:15" ht="26" x14ac:dyDescent="0.2">
      <c r="A8" s="118" t="str">
        <f>IF(OR(ISBLANK(B8),B8=""),"",_xlfn.CONCAT("8.",H8))</f>
        <v>8.1</v>
      </c>
      <c r="B8" s="40" t="s">
        <v>365</v>
      </c>
      <c r="C8" s="204"/>
      <c r="D8" s="205"/>
      <c r="E8" s="118" t="s">
        <v>366</v>
      </c>
      <c r="F8" s="206"/>
      <c r="G8" s="206"/>
      <c r="H8" s="27">
        <v>1</v>
      </c>
      <c r="I8" s="6"/>
      <c r="J8" s="6"/>
      <c r="K8" s="6"/>
      <c r="L8" s="6"/>
      <c r="M8" s="6"/>
      <c r="N8" s="6"/>
      <c r="O8" s="6"/>
    </row>
    <row r="9" spans="1:15" ht="52" x14ac:dyDescent="0.2">
      <c r="A9" s="118" t="str">
        <f>IF(OR(ISBLANK(B9),B9=""),"",_xlfn.CONCAT("8.",H9))</f>
        <v>8.2</v>
      </c>
      <c r="B9" s="40" t="s">
        <v>367</v>
      </c>
      <c r="C9" s="207"/>
      <c r="D9" s="205"/>
      <c r="E9" s="118"/>
      <c r="F9" s="206"/>
      <c r="G9" s="206"/>
      <c r="H9" s="27">
        <f t="shared" ref="H9:H23" si="0">IF(OR(ISBLANK(B9),B9=""),H8,H8+1)</f>
        <v>2</v>
      </c>
      <c r="I9" s="6"/>
      <c r="J9" s="6"/>
      <c r="K9" s="6"/>
      <c r="L9" s="6"/>
      <c r="M9" s="6"/>
      <c r="N9" s="6"/>
      <c r="O9" s="6"/>
    </row>
    <row r="10" spans="1:15" ht="15" x14ac:dyDescent="0.2">
      <c r="A10" s="46" t="str">
        <f>IF(OR(ISBLANK(B10),B10=""),"",_xlfn.CONCAT("8.",H10))</f>
        <v>8.3</v>
      </c>
      <c r="B10" s="208" t="s">
        <v>368</v>
      </c>
      <c r="C10" s="207"/>
      <c r="D10" s="29" t="s">
        <v>34</v>
      </c>
      <c r="E10" s="46" t="s">
        <v>369</v>
      </c>
      <c r="F10" s="40"/>
      <c r="G10" s="40"/>
      <c r="H10" s="27">
        <f t="shared" si="0"/>
        <v>3</v>
      </c>
      <c r="I10" s="6"/>
      <c r="J10" s="6"/>
      <c r="K10" s="6"/>
      <c r="L10" s="6"/>
      <c r="M10" s="6"/>
      <c r="N10" s="6"/>
      <c r="O10" s="6"/>
    </row>
    <row r="11" spans="1:15" ht="15" x14ac:dyDescent="0.2">
      <c r="A11" s="118" t="str">
        <f>IF(OR(ISBLANK(B11),B11=""),"",_xlfn.CONCAT("8.",H11))</f>
        <v/>
      </c>
      <c r="B11" s="59"/>
      <c r="C11" s="207"/>
      <c r="D11" s="207"/>
      <c r="E11" s="118"/>
      <c r="F11" s="40"/>
      <c r="G11" s="40"/>
      <c r="H11" s="27">
        <f t="shared" si="0"/>
        <v>3</v>
      </c>
      <c r="I11" s="6"/>
      <c r="J11" s="6"/>
      <c r="K11" s="6"/>
      <c r="L11" s="6"/>
      <c r="M11" s="6"/>
      <c r="N11" s="6"/>
      <c r="O11" s="6"/>
    </row>
    <row r="12" spans="1:15" ht="15" x14ac:dyDescent="0.2">
      <c r="A12" s="118" t="str">
        <f>IF(OR(ISBLANK(B12),B12=""),"",_xlfn.CONCAT("8.",H12))</f>
        <v/>
      </c>
      <c r="B12" s="59"/>
      <c r="C12" s="207"/>
      <c r="D12" s="207"/>
      <c r="E12" s="118"/>
      <c r="F12" s="206"/>
      <c r="G12" s="206"/>
      <c r="H12" s="27">
        <f t="shared" si="0"/>
        <v>3</v>
      </c>
      <c r="I12" s="6"/>
      <c r="J12" s="6"/>
      <c r="K12" s="6"/>
      <c r="L12" s="6"/>
      <c r="M12" s="6"/>
      <c r="N12" s="6"/>
      <c r="O12" s="6"/>
    </row>
    <row r="13" spans="1:15" ht="37" customHeight="1" x14ac:dyDescent="0.2">
      <c r="A13" s="190" t="s">
        <v>370</v>
      </c>
      <c r="B13" s="209"/>
      <c r="C13" s="210"/>
      <c r="D13" s="210"/>
      <c r="E13" s="217" t="s">
        <v>371</v>
      </c>
      <c r="F13" s="217"/>
      <c r="G13" s="191"/>
      <c r="H13" s="27">
        <f t="shared" si="0"/>
        <v>3</v>
      </c>
      <c r="I13" s="6"/>
      <c r="J13" s="6"/>
      <c r="K13" s="6"/>
      <c r="L13" s="6"/>
      <c r="M13" s="6"/>
      <c r="N13" s="6"/>
      <c r="O13" s="6"/>
    </row>
    <row r="14" spans="1:15" ht="39" x14ac:dyDescent="0.2">
      <c r="A14" s="118" t="str">
        <f>IF(OR(ISBLANK(B14),B14=""),"",_xlfn.CONCAT("8.",H14))</f>
        <v>8.4</v>
      </c>
      <c r="B14" s="59" t="s">
        <v>372</v>
      </c>
      <c r="C14" s="207"/>
      <c r="D14" s="207"/>
      <c r="E14" s="118" t="s">
        <v>373</v>
      </c>
      <c r="F14" s="206"/>
      <c r="G14" s="206"/>
      <c r="H14" s="27">
        <f t="shared" si="0"/>
        <v>4</v>
      </c>
      <c r="I14" s="6"/>
      <c r="J14" s="6"/>
      <c r="K14" s="6"/>
      <c r="L14" s="6"/>
      <c r="M14" s="6"/>
      <c r="N14" s="6"/>
      <c r="O14" s="6"/>
    </row>
    <row r="15" spans="1:15" ht="15" x14ac:dyDescent="0.2">
      <c r="A15" s="118" t="str">
        <f>IF(OR(ISBLANK(B15),B15=""),"",_xlfn.CONCAT("8.",H15))</f>
        <v>8.5</v>
      </c>
      <c r="B15" s="59" t="s">
        <v>374</v>
      </c>
      <c r="C15" s="211">
        <v>0.5</v>
      </c>
      <c r="E15" s="118" t="s">
        <v>375</v>
      </c>
      <c r="F15" s="206"/>
      <c r="G15" s="206"/>
      <c r="H15" s="27">
        <f t="shared" si="0"/>
        <v>5</v>
      </c>
      <c r="I15" s="6"/>
      <c r="J15" s="6"/>
      <c r="K15" s="6"/>
      <c r="L15" s="6"/>
      <c r="M15" s="6"/>
      <c r="N15" s="6"/>
      <c r="O15" s="6"/>
    </row>
    <row r="16" spans="1:15" ht="15" x14ac:dyDescent="0.2">
      <c r="A16" s="118" t="str">
        <f>IF(OR(ISBLANK(B16),B16=""),"",_xlfn.CONCAT("8.",H16))</f>
        <v/>
      </c>
      <c r="B16" s="59"/>
      <c r="C16" s="207"/>
      <c r="D16" s="207"/>
      <c r="E16" s="212"/>
      <c r="F16" s="206"/>
      <c r="G16" s="206"/>
      <c r="H16" s="27">
        <f t="shared" si="0"/>
        <v>5</v>
      </c>
      <c r="I16" s="6"/>
      <c r="J16" s="6"/>
      <c r="K16" s="6"/>
      <c r="L16" s="6"/>
      <c r="M16" s="6"/>
      <c r="N16" s="6"/>
      <c r="O16" s="6"/>
    </row>
    <row r="17" spans="1:15" ht="15" x14ac:dyDescent="0.2">
      <c r="A17" s="118" t="str">
        <f>IF(OR(ISBLANK(B17),B17=""),"",_xlfn.CONCAT("8.",H17))</f>
        <v/>
      </c>
      <c r="B17" s="59"/>
      <c r="C17" s="207"/>
      <c r="D17" s="207"/>
      <c r="E17" s="212"/>
      <c r="F17" s="206"/>
      <c r="G17" s="206"/>
      <c r="H17" s="27">
        <f t="shared" si="0"/>
        <v>5</v>
      </c>
      <c r="I17" s="6"/>
      <c r="J17" s="6"/>
      <c r="K17" s="6"/>
      <c r="L17" s="6"/>
      <c r="M17" s="6"/>
      <c r="N17" s="6"/>
      <c r="O17" s="6"/>
    </row>
    <row r="18" spans="1:15" ht="15" x14ac:dyDescent="0.2">
      <c r="A18" s="190"/>
      <c r="B18" s="209"/>
      <c r="C18" s="210"/>
      <c r="D18" s="210"/>
      <c r="E18" s="192"/>
      <c r="F18" s="191"/>
      <c r="G18" s="191"/>
      <c r="H18" s="27">
        <f t="shared" si="0"/>
        <v>5</v>
      </c>
      <c r="I18" s="6"/>
      <c r="J18" s="6"/>
      <c r="K18" s="6"/>
      <c r="L18" s="6"/>
      <c r="M18" s="6"/>
      <c r="N18" s="6"/>
      <c r="O18" s="6"/>
    </row>
    <row r="19" spans="1:15" ht="15" x14ac:dyDescent="0.2">
      <c r="A19" s="118" t="str">
        <f>IF(OR(ISBLANK(B19),B19=""),"",_xlfn.CONCAT("8.",H19))</f>
        <v/>
      </c>
      <c r="B19" s="59"/>
      <c r="C19" s="207"/>
      <c r="D19" s="207"/>
      <c r="E19" s="212"/>
      <c r="F19" s="206"/>
      <c r="G19" s="206"/>
      <c r="H19" s="27">
        <f t="shared" si="0"/>
        <v>5</v>
      </c>
      <c r="I19" s="6"/>
      <c r="J19" s="6"/>
      <c r="K19" s="6"/>
      <c r="L19" s="6"/>
      <c r="M19" s="6"/>
      <c r="N19" s="6"/>
      <c r="O19" s="6"/>
    </row>
    <row r="20" spans="1:15" ht="15" x14ac:dyDescent="0.2">
      <c r="A20" s="118" t="str">
        <f>IF(OR(ISBLANK(B20),B20=""),"",_xlfn.CONCAT("8.",H20))</f>
        <v/>
      </c>
      <c r="B20" s="59"/>
      <c r="C20" s="207"/>
      <c r="D20" s="207"/>
      <c r="E20" s="212"/>
      <c r="F20" s="206"/>
      <c r="G20" s="206"/>
      <c r="H20" s="27">
        <f t="shared" si="0"/>
        <v>5</v>
      </c>
      <c r="I20" s="6"/>
      <c r="J20" s="6"/>
      <c r="K20" s="6"/>
      <c r="L20" s="6"/>
      <c r="M20" s="6"/>
      <c r="N20" s="6"/>
      <c r="O20" s="6"/>
    </row>
    <row r="21" spans="1:15" ht="15" x14ac:dyDescent="0.2">
      <c r="A21" s="118" t="str">
        <f>IF(OR(ISBLANK(B21),B21=""),"",_xlfn.CONCAT("8.",H21))</f>
        <v/>
      </c>
      <c r="B21" s="59"/>
      <c r="C21" s="207"/>
      <c r="D21" s="207"/>
      <c r="E21" s="118"/>
      <c r="F21" s="206"/>
      <c r="G21" s="206"/>
      <c r="H21" s="27">
        <f t="shared" si="0"/>
        <v>5</v>
      </c>
      <c r="I21" s="6"/>
      <c r="J21" s="6"/>
      <c r="K21" s="6"/>
      <c r="L21" s="6"/>
      <c r="M21" s="51"/>
      <c r="N21" s="6"/>
      <c r="O21" s="6"/>
    </row>
    <row r="22" spans="1:15" ht="15" x14ac:dyDescent="0.2">
      <c r="A22" s="118" t="str">
        <f>IF(OR(ISBLANK(B22),B22=""),"",_xlfn.CONCAT("8.",H22))</f>
        <v/>
      </c>
      <c r="B22" s="59"/>
      <c r="C22" s="207"/>
      <c r="D22" s="207"/>
      <c r="E22" s="118"/>
      <c r="F22" s="206"/>
      <c r="G22" s="206"/>
      <c r="H22" s="27">
        <f t="shared" si="0"/>
        <v>5</v>
      </c>
      <c r="I22" s="6"/>
      <c r="J22" s="6"/>
      <c r="K22" s="6"/>
      <c r="L22" s="6"/>
      <c r="M22" s="6"/>
      <c r="N22" s="6"/>
      <c r="O22" s="6"/>
    </row>
    <row r="23" spans="1:15" ht="15" x14ac:dyDescent="0.2">
      <c r="A23" s="118" t="str">
        <f>IF(OR(ISBLANK(B23),B23=""),"",_xlfn.CONCAT("8.",H23))</f>
        <v/>
      </c>
      <c r="B23" s="59"/>
      <c r="C23" s="213"/>
      <c r="D23" s="213"/>
      <c r="E23" s="214"/>
      <c r="F23" s="206"/>
      <c r="G23" s="206"/>
      <c r="H23" s="27">
        <f t="shared" si="0"/>
        <v>5</v>
      </c>
      <c r="I23" s="6"/>
      <c r="J23" s="6"/>
      <c r="K23" s="6"/>
      <c r="L23" s="6"/>
      <c r="M23" s="6"/>
      <c r="N23" s="6"/>
      <c r="O23" s="6"/>
    </row>
    <row r="24" spans="1:15" ht="15" x14ac:dyDescent="0.2">
      <c r="A24" s="6"/>
      <c r="B24" s="199"/>
      <c r="C24" s="3"/>
      <c r="D24" s="215"/>
      <c r="E24" s="3"/>
      <c r="F24" s="51"/>
      <c r="G24" s="51"/>
      <c r="H24" s="54"/>
      <c r="I24" s="6"/>
      <c r="J24" s="6"/>
      <c r="K24" s="6"/>
      <c r="L24" s="6"/>
      <c r="M24" s="6"/>
      <c r="N24" s="6"/>
      <c r="O24" s="6"/>
    </row>
    <row r="25" spans="1:15" ht="15" x14ac:dyDescent="0.2">
      <c r="A25" s="6"/>
      <c r="B25" s="199"/>
      <c r="C25" s="3"/>
      <c r="D25" s="215"/>
      <c r="E25" s="3"/>
      <c r="F25" s="51"/>
      <c r="G25" s="51"/>
      <c r="H25" s="54"/>
      <c r="I25" s="6"/>
      <c r="J25" s="6"/>
      <c r="K25" s="6"/>
      <c r="L25" s="6"/>
      <c r="M25" s="6"/>
      <c r="N25" s="6"/>
      <c r="O25" s="6"/>
    </row>
    <row r="26" spans="1:15" ht="15" x14ac:dyDescent="0.2">
      <c r="A26" s="6"/>
      <c r="B26" s="199"/>
      <c r="C26" s="3"/>
      <c r="D26" s="3"/>
      <c r="E26" s="3"/>
      <c r="F26" s="51"/>
      <c r="G26" s="51"/>
      <c r="H26" s="54"/>
      <c r="I26" s="6"/>
      <c r="J26" s="6"/>
      <c r="K26" s="6"/>
      <c r="L26" s="6"/>
      <c r="M26" s="6"/>
      <c r="N26" s="6"/>
      <c r="O26" s="6"/>
    </row>
    <row r="27" spans="1:15" ht="15" x14ac:dyDescent="0.2">
      <c r="A27" s="6"/>
      <c r="B27" s="199"/>
      <c r="C27" s="3"/>
      <c r="D27" s="3"/>
      <c r="E27" s="3"/>
      <c r="F27" s="51"/>
      <c r="G27" s="51"/>
      <c r="H27" s="54"/>
      <c r="I27" s="6"/>
      <c r="J27" s="6"/>
      <c r="K27" s="6"/>
      <c r="L27" s="6"/>
      <c r="M27" s="6"/>
      <c r="N27" s="6"/>
      <c r="O27" s="6"/>
    </row>
    <row r="28" spans="1:15" ht="15" x14ac:dyDescent="0.2">
      <c r="A28" s="6"/>
      <c r="B28" s="199"/>
      <c r="C28" s="6"/>
      <c r="D28" s="6"/>
      <c r="E28" s="3"/>
      <c r="F28" s="51"/>
      <c r="G28" s="51"/>
      <c r="H28" s="54"/>
      <c r="I28" s="6"/>
      <c r="J28" s="6"/>
      <c r="K28" s="6"/>
      <c r="L28" s="6"/>
      <c r="M28" s="6"/>
      <c r="N28" s="6"/>
      <c r="O28" s="6"/>
    </row>
    <row r="29" spans="1:15" ht="15" x14ac:dyDescent="0.2">
      <c r="A29" s="6"/>
      <c r="B29" s="199"/>
      <c r="C29" s="6"/>
      <c r="D29" s="6"/>
      <c r="E29" s="3"/>
      <c r="F29" s="51"/>
      <c r="G29" s="51"/>
      <c r="H29" s="54"/>
      <c r="I29" s="6"/>
      <c r="J29" s="6"/>
      <c r="K29" s="6"/>
      <c r="L29" s="6"/>
      <c r="M29" s="6"/>
      <c r="N29" s="6"/>
      <c r="O29" s="6"/>
    </row>
    <row r="30" spans="1:15" ht="15" x14ac:dyDescent="0.2">
      <c r="A30" s="6"/>
      <c r="B30" s="199"/>
      <c r="C30" s="6"/>
      <c r="D30" s="6"/>
      <c r="E30" s="3"/>
      <c r="F30" s="51"/>
      <c r="G30" s="51"/>
      <c r="H30" s="54"/>
      <c r="I30" s="6"/>
      <c r="J30" s="6"/>
      <c r="K30" s="6"/>
      <c r="L30" s="6"/>
      <c r="M30" s="6"/>
      <c r="N30" s="6"/>
      <c r="O30" s="6"/>
    </row>
    <row r="31" spans="1:15" ht="15" x14ac:dyDescent="0.2">
      <c r="A31" s="6"/>
      <c r="B31" s="199"/>
      <c r="C31" s="6"/>
      <c r="D31" s="6"/>
      <c r="E31" s="3"/>
      <c r="F31" s="51"/>
      <c r="G31" s="51"/>
      <c r="H31" s="54"/>
      <c r="I31" s="6"/>
      <c r="J31" s="6"/>
      <c r="K31" s="6"/>
      <c r="L31" s="6"/>
      <c r="M31" s="6"/>
      <c r="N31" s="6"/>
      <c r="O31" s="6"/>
    </row>
    <row r="32" spans="1:15" ht="15" x14ac:dyDescent="0.2">
      <c r="A32" s="6"/>
      <c r="B32" s="199"/>
      <c r="C32" s="6"/>
      <c r="D32" s="6"/>
      <c r="E32" s="3"/>
      <c r="F32" s="51"/>
      <c r="G32" s="51"/>
      <c r="H32" s="54"/>
      <c r="I32" s="6"/>
      <c r="J32" s="6"/>
      <c r="K32" s="6"/>
      <c r="L32" s="6"/>
      <c r="M32" s="6"/>
      <c r="N32" s="6"/>
      <c r="O32" s="6"/>
    </row>
    <row r="33" spans="1:15" ht="15" x14ac:dyDescent="0.2">
      <c r="A33" s="6"/>
      <c r="B33" s="199"/>
      <c r="C33" s="3"/>
      <c r="D33" s="3"/>
      <c r="E33" s="3"/>
      <c r="F33" s="51"/>
      <c r="G33" s="51"/>
      <c r="H33" s="54"/>
      <c r="I33" s="6"/>
      <c r="J33" s="6"/>
      <c r="K33" s="6"/>
      <c r="L33" s="6"/>
      <c r="M33" s="6"/>
      <c r="N33" s="6"/>
      <c r="O33" s="6"/>
    </row>
  </sheetData>
  <mergeCells count="1">
    <mergeCell ref="E13:F13"/>
  </mergeCells>
  <printOptions horizontalCentered="1" verticalCentered="1"/>
  <pageMargins left="0.23622047244094499" right="0.23622047244094499" top="0.74803149606299202" bottom="0.74803149606299202" header="0.31496062992126" footer="0.31496062992126"/>
  <pageSetup paperSize="0" fitToWidth="0" fitToHeight="0" orientation="landscape" horizontalDpi="0" verticalDpi="0" copies="0"/>
  <headerFooter>
    <oddFooter>&amp;L
&amp;1#&amp;10 Intern gebruik</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Disclaimer</vt:lpstr>
      <vt:lpstr>1__Eisen_-_Algemeen</vt:lpstr>
      <vt:lpstr>2__Eisen-Werkzaamheden</vt:lpstr>
      <vt:lpstr>3__Eisen_-_Panelen</vt:lpstr>
      <vt:lpstr>4__Eisen_-_Omv_&amp;_elektra</vt:lpstr>
      <vt:lpstr>5__Eisen_-_Constructie</vt:lpstr>
      <vt:lpstr>6__Eisen_-_Oplev_inspectie</vt:lpstr>
      <vt:lpstr>7__Eisen_-_O_&amp;_M</vt:lpstr>
      <vt:lpstr>8__Eisen_-_Ecol_&amp;_biodiv</vt:lpstr>
      <vt:lpstr>9__Gunningscriteria</vt:lpstr>
      <vt:lpstr>10__Documenten_inschrijving</vt:lpstr>
      <vt:lpstr>Lijsten_ja_nee_onbekend</vt:lpstr>
      <vt:lpstr>Lijsten_kWh_punt_aftrek</vt:lpstr>
      <vt:lpstr>Lijsten_weging_milieu_impact</vt:lpstr>
      <vt:lpstr>'1__Eisen_-_Algemeen'!Print_Area</vt:lpstr>
      <vt:lpstr>'10__Documenten_inschrijving'!Print_Area</vt:lpstr>
      <vt:lpstr>'2__Eisen-Werkzaamheden'!Print_Area</vt:lpstr>
      <vt:lpstr>'3__Eisen_-_Panelen'!Print_Area</vt:lpstr>
      <vt:lpstr>'4__Eisen_-_Omv_&amp;_elektra'!Print_Area</vt:lpstr>
      <vt:lpstr>'5__Eisen_-_Constructie'!Print_Area</vt:lpstr>
      <vt:lpstr>'6__Eisen_-_Oplev_inspectie'!Print_Area</vt:lpstr>
      <vt:lpstr>'7__Eisen_-_O_&amp;_M'!Print_Area</vt:lpstr>
      <vt:lpstr>'8__Eisen_-_Ecol_&amp;_biodiv'!Print_Area</vt:lpstr>
      <vt:lpstr>'9__Gunningscriteria'!Print_Area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 Drost</dc:creator>
  <dc:description/>
  <cp:lastModifiedBy>PC Gebruiker</cp:lastModifiedBy>
  <dcterms:created xsi:type="dcterms:W3CDTF">2020-01-22T14:09:25Z</dcterms:created>
  <dcterms:modified xsi:type="dcterms:W3CDTF">2025-03-18T12:47:57Z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0x01010095F9ECD92798A742A5A5447C0D12F75F</vt:lpwstr>
  </property>
  <property fmtid="{D5CDD505-2E9C-101B-9397-08002B2CF9AE}" pid="3" name="TNOC_DocumentClassification">
    <vt:lpwstr>5;#TNO Internal|1a23c89f-ef54-4907-86fd-8242403ff722</vt:lpwstr>
  </property>
  <property fmtid="{D5CDD505-2E9C-101B-9397-08002B2CF9AE}" pid="4" name="TNOC_DocumentType">
    <vt:lpwstr/>
  </property>
  <property fmtid="{D5CDD505-2E9C-101B-9397-08002B2CF9AE}" pid="5" name="TNOC_ClusterType">
    <vt:lpwstr>1;#Project|fa11c4c9-105f-402c-bb40-9a56b4989397</vt:lpwstr>
  </property>
  <property fmtid="{D5CDD505-2E9C-101B-9397-08002B2CF9AE}" pid="6" name="TNOC_DocumentCategory">
    <vt:lpwstr/>
  </property>
  <property fmtid="{D5CDD505-2E9C-101B-9397-08002B2CF9AE}" pid="7" name="TNOC_DocumentSetType">
    <vt:lpwstr/>
  </property>
  <property fmtid="{D5CDD505-2E9C-101B-9397-08002B2CF9AE}" pid="8" name="_dlc_DocIdItemGuid">
    <vt:lpwstr>647e19a5-8012-49fc-b29c-f9dffb6c8368</vt:lpwstr>
  </property>
  <property fmtid="{D5CDD505-2E9C-101B-9397-08002B2CF9AE}" pid="9" name="h15fbb78f4cb41d290e72f301ea2865f">
    <vt:lpwstr>Project|fa11c4c9-105f-402c-bb40-9a56b4989397</vt:lpwstr>
  </property>
  <property fmtid="{D5CDD505-2E9C-101B-9397-08002B2CF9AE}" pid="10" name="lca20d149a844688b6abf34073d5c21d">
    <vt:lpwstr/>
  </property>
  <property fmtid="{D5CDD505-2E9C-101B-9397-08002B2CF9AE}" pid="11" name="cf581d8792c646118aad2c2c4ecdfa8c">
    <vt:lpwstr/>
  </property>
  <property fmtid="{D5CDD505-2E9C-101B-9397-08002B2CF9AE}" pid="12" name="bac4ab11065f4f6c809c820c57e320e5">
    <vt:lpwstr/>
  </property>
  <property fmtid="{D5CDD505-2E9C-101B-9397-08002B2CF9AE}" pid="13" name="TaxCatchAll">
    <vt:lpwstr>5;#TNO Internal|1a23c89f-ef54-4907-86fd-8242403ff722;#1;#Project|fa11c4c9-105f-402c-bb40-9a56b4989397</vt:lpwstr>
  </property>
  <property fmtid="{D5CDD505-2E9C-101B-9397-08002B2CF9AE}" pid="14" name="n2a7a23bcc2241cb9261f9a914c7c1bb">
    <vt:lpwstr>TNO Internal|1a23c89f-ef54-4907-86fd-8242403ff722</vt:lpwstr>
  </property>
</Properties>
</file>